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\\hydra.ibp003.fraunhofer.de\gabi\Projekte\Projekte-abgeschlossen\21206 PEHOBA LIFT Klima Werkzeug Hotelbau (KAL, MIJ)\02_Inhalt\07_Tool\"/>
    </mc:Choice>
  </mc:AlternateContent>
  <xr:revisionPtr revIDLastSave="0" documentId="13_ncr:1_{F00F6249-A9FB-44E6-88B6-B1D7CF581A1A}" xr6:coauthVersionLast="47" xr6:coauthVersionMax="47" xr10:uidLastSave="{00000000-0000-0000-0000-000000000000}"/>
  <bookViews>
    <workbookView xWindow="-25320" yWindow="-120" windowWidth="25440" windowHeight="15390" activeTab="3" xr2:uid="{00000000-000D-0000-FFFF-FFFF00000000}"/>
  </bookViews>
  <sheets>
    <sheet name="01_Disclaimer" sheetId="11" r:id="rId1"/>
    <sheet name="02_Hinweise" sheetId="13" r:id="rId2"/>
    <sheet name="Eingabe" sheetId="1" r:id="rId3"/>
    <sheet name="Ausgabe" sheetId="14" r:id="rId4"/>
    <sheet name="Datenbasis" sheetId="5" r:id="rId5"/>
    <sheet name="Hintergrund" sheetId="2" r:id="rId6"/>
  </sheets>
  <definedNames>
    <definedName name="Ausgabe01">Ausgabe!$B$19</definedName>
    <definedName name="Ausgabe02">Ausgabe!$B$34</definedName>
    <definedName name="Ausgabe03">Ausgabe!$B$64</definedName>
    <definedName name="Ausgabe04">Ausgabe!$B$100</definedName>
    <definedName name="_xlnm.Print_Area" localSheetId="0">'01_Disclaimer'!$A$1:$L$17</definedName>
    <definedName name="_xlnm.Print_Area" localSheetId="1">'02_Hinweise'!$A$1:$L$13</definedName>
    <definedName name="_xlnm.Print_Area" localSheetId="3">Ausgabe!$A$1:$F$122</definedName>
    <definedName name="_xlnm.Print_Area" localSheetId="2">Eingabe!$A$1:$I$54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29" i="2"/>
  <c r="G31" i="2" s="1"/>
  <c r="H13" i="2"/>
  <c r="H4" i="2"/>
  <c r="G5" i="2"/>
  <c r="H5" i="2" s="1"/>
  <c r="B25" i="2"/>
  <c r="B26" i="2" s="1"/>
  <c r="B23" i="2"/>
  <c r="B16" i="2"/>
  <c r="B17" i="2" s="1"/>
  <c r="B33" i="2" s="1"/>
  <c r="B7" i="2"/>
  <c r="B24" i="2" l="1"/>
  <c r="G53" i="1"/>
  <c r="C6" i="2"/>
  <c r="E6" i="2" s="1"/>
  <c r="B8" i="2"/>
  <c r="B34" i="2" s="1"/>
  <c r="B35" i="2" s="1"/>
  <c r="C28" i="1" l="1"/>
  <c r="C20" i="1"/>
  <c r="B132" i="2"/>
  <c r="B131" i="2" s="1"/>
  <c r="B117" i="2"/>
  <c r="B124" i="2"/>
  <c r="G23" i="2"/>
  <c r="B28" i="2"/>
  <c r="B129" i="2" l="1"/>
  <c r="B122" i="2"/>
  <c r="D30" i="14" l="1"/>
  <c r="AH62" i="2" l="1"/>
  <c r="S82" i="2"/>
  <c r="S81" i="2"/>
  <c r="C30" i="14"/>
  <c r="U65" i="2"/>
  <c r="D72" i="2"/>
  <c r="U73" i="2" l="1"/>
  <c r="G6" i="2" l="1"/>
  <c r="H6" i="2" s="1"/>
  <c r="B27" i="2" l="1"/>
  <c r="B22" i="2"/>
  <c r="B13" i="2"/>
  <c r="B15" i="2"/>
  <c r="B14" i="2"/>
  <c r="C23" i="2" l="1"/>
  <c r="G25" i="2"/>
  <c r="G15" i="2"/>
  <c r="B115" i="2"/>
  <c r="C119" i="2"/>
  <c r="G14" i="2"/>
  <c r="H14" i="2" s="1"/>
  <c r="A50" i="2" l="1"/>
  <c r="A51" i="2" s="1"/>
  <c r="G48" i="1"/>
  <c r="A41" i="2"/>
  <c r="D41" i="2" s="1"/>
  <c r="B99" i="2" s="1"/>
  <c r="D25" i="14" s="1"/>
  <c r="G38" i="1"/>
  <c r="C25" i="2"/>
  <c r="H15" i="2"/>
  <c r="C116" i="2"/>
  <c r="C117" i="2"/>
  <c r="C118" i="2"/>
  <c r="C133" i="2"/>
  <c r="D133" i="2" s="1"/>
  <c r="E133" i="2" s="1"/>
  <c r="C130" i="2"/>
  <c r="D130" i="2" s="1"/>
  <c r="E130" i="2" s="1"/>
  <c r="C131" i="2"/>
  <c r="D131" i="2" s="1"/>
  <c r="E131" i="2" s="1"/>
  <c r="C132" i="2"/>
  <c r="D132" i="2" s="1"/>
  <c r="E132" i="2" s="1"/>
  <c r="C124" i="2"/>
  <c r="D124" i="2" s="1"/>
  <c r="E124" i="2" s="1"/>
  <c r="C123" i="2"/>
  <c r="C126" i="2"/>
  <c r="D126" i="2" s="1"/>
  <c r="E126" i="2" s="1"/>
  <c r="C125" i="2"/>
  <c r="D125" i="2" s="1"/>
  <c r="E125" i="2" s="1"/>
  <c r="D50" i="2"/>
  <c r="B101" i="2" s="1"/>
  <c r="D28" i="14" s="1"/>
  <c r="A44" i="2" l="1"/>
  <c r="G41" i="1"/>
  <c r="AC82" i="2"/>
  <c r="D119" i="2"/>
  <c r="E119" i="2" s="1"/>
  <c r="D117" i="2"/>
  <c r="E117" i="2" s="1"/>
  <c r="D118" i="2"/>
  <c r="E118" i="2" s="1"/>
  <c r="D116" i="2"/>
  <c r="C129" i="2"/>
  <c r="B110" i="2" s="1"/>
  <c r="C122" i="2"/>
  <c r="D123" i="2"/>
  <c r="E123" i="2" s="1"/>
  <c r="C115" i="2"/>
  <c r="A42" i="2"/>
  <c r="A21" i="5"/>
  <c r="A45" i="2" l="1"/>
  <c r="A47" i="2"/>
  <c r="A48" i="2" s="1"/>
  <c r="D44" i="2"/>
  <c r="B100" i="2" s="1"/>
  <c r="D26" i="14" s="1"/>
  <c r="A84" i="2"/>
  <c r="B111" i="2"/>
  <c r="L66" i="2"/>
  <c r="D101" i="2"/>
  <c r="E101" i="2" s="1"/>
  <c r="C28" i="14" s="1"/>
  <c r="D110" i="2"/>
  <c r="E110" i="2" s="1"/>
  <c r="S73" i="2" s="1"/>
  <c r="AF63" i="2"/>
  <c r="Q82" i="2"/>
  <c r="AA82" i="2"/>
  <c r="D122" i="2"/>
  <c r="E122" i="2" s="1"/>
  <c r="D115" i="2"/>
  <c r="E116" i="2"/>
  <c r="E115" i="2" s="1"/>
  <c r="D129" i="2"/>
  <c r="E129" i="2" s="1"/>
  <c r="J66" i="2"/>
  <c r="D99" i="2"/>
  <c r="E99" i="2" s="1"/>
  <c r="C25" i="14" s="1"/>
  <c r="D47" i="2" l="1"/>
  <c r="D53" i="2" s="1"/>
  <c r="B92" i="2" s="1"/>
  <c r="L74" i="2"/>
  <c r="AB82" i="2"/>
  <c r="D111" i="2"/>
  <c r="E111" i="2" s="1"/>
  <c r="T73" i="2" s="1"/>
  <c r="R82" i="2"/>
  <c r="AG63" i="2"/>
  <c r="J74" i="2"/>
  <c r="K66" i="2"/>
  <c r="D100" i="2"/>
  <c r="E100" i="2" s="1"/>
  <c r="C26" i="14" s="1"/>
  <c r="A3" i="5"/>
  <c r="B91" i="2" l="1"/>
  <c r="D24" i="14" s="1"/>
  <c r="C64" i="2"/>
  <c r="D29" i="14"/>
  <c r="B97" i="2"/>
  <c r="B108" i="2"/>
  <c r="B107" i="2"/>
  <c r="B98" i="2"/>
  <c r="D98" i="2" s="1"/>
  <c r="E98" i="2" s="1"/>
  <c r="B109" i="2"/>
  <c r="B103" i="2"/>
  <c r="D103" i="2" s="1"/>
  <c r="E103" i="2" s="1"/>
  <c r="B105" i="2"/>
  <c r="B96" i="2"/>
  <c r="B95" i="2"/>
  <c r="B104" i="2"/>
  <c r="B102" i="2"/>
  <c r="D102" i="2" s="1"/>
  <c r="E102" i="2" s="1"/>
  <c r="B94" i="2"/>
  <c r="B106" i="2"/>
  <c r="B93" i="2"/>
  <c r="D92" i="2"/>
  <c r="E92" i="2" s="1"/>
  <c r="C29" i="14" s="1"/>
  <c r="Z81" i="2"/>
  <c r="C63" i="2"/>
  <c r="D91" i="2"/>
  <c r="E91" i="2" s="1"/>
  <c r="K74" i="2"/>
  <c r="A83" i="2"/>
  <c r="BT9" i="2"/>
  <c r="BS9" i="2"/>
  <c r="BT8" i="2"/>
  <c r="BS8" i="2"/>
  <c r="BT7" i="2"/>
  <c r="BS7" i="2"/>
  <c r="BT6" i="2"/>
  <c r="BS6" i="2"/>
  <c r="BT5" i="2"/>
  <c r="BS5" i="2"/>
  <c r="BT4" i="2"/>
  <c r="BS4" i="2"/>
  <c r="BS3" i="2"/>
  <c r="BR3" i="2"/>
  <c r="B89" i="2" l="1"/>
  <c r="D22" i="14" s="1"/>
  <c r="D23" i="14"/>
  <c r="C72" i="2"/>
  <c r="C24" i="14"/>
  <c r="B90" i="2"/>
  <c r="D27" i="14" s="1"/>
  <c r="Y62" i="2"/>
  <c r="L82" i="2"/>
  <c r="AA63" i="2"/>
  <c r="AC63" i="2"/>
  <c r="N82" i="2"/>
  <c r="M82" i="2"/>
  <c r="AB63" i="2"/>
  <c r="AD63" i="2"/>
  <c r="O82" i="2"/>
  <c r="AE63" i="2"/>
  <c r="P82" i="2"/>
  <c r="Z63" i="2"/>
  <c r="K82" i="2"/>
  <c r="J81" i="2"/>
  <c r="M65" i="2"/>
  <c r="D104" i="2"/>
  <c r="E104" i="2" s="1"/>
  <c r="M73" i="2" s="1"/>
  <c r="C71" i="2"/>
  <c r="T65" i="2"/>
  <c r="O65" i="2"/>
  <c r="D106" i="2"/>
  <c r="E106" i="2" s="1"/>
  <c r="O73" i="2" s="1"/>
  <c r="N65" i="2"/>
  <c r="D105" i="2"/>
  <c r="E105" i="2" s="1"/>
  <c r="N73" i="2" s="1"/>
  <c r="H64" i="2"/>
  <c r="D97" i="2"/>
  <c r="E97" i="2" s="1"/>
  <c r="H72" i="2" s="1"/>
  <c r="P65" i="2"/>
  <c r="D107" i="2"/>
  <c r="E107" i="2" s="1"/>
  <c r="P73" i="2" s="1"/>
  <c r="D63" i="2"/>
  <c r="D93" i="2"/>
  <c r="E93" i="2" s="1"/>
  <c r="C23" i="14" s="1"/>
  <c r="F64" i="2"/>
  <c r="D95" i="2"/>
  <c r="E95" i="2" s="1"/>
  <c r="F72" i="2" s="1"/>
  <c r="S65" i="2"/>
  <c r="E64" i="2"/>
  <c r="D94" i="2"/>
  <c r="E94" i="2" s="1"/>
  <c r="E72" i="2" s="1"/>
  <c r="Q65" i="2"/>
  <c r="D108" i="2"/>
  <c r="E108" i="2" s="1"/>
  <c r="Q73" i="2" s="1"/>
  <c r="G64" i="2"/>
  <c r="D96" i="2"/>
  <c r="E96" i="2" s="1"/>
  <c r="G72" i="2" s="1"/>
  <c r="B62" i="2" l="1"/>
  <c r="D90" i="2"/>
  <c r="E90" i="2" s="1"/>
  <c r="B70" i="2" s="1"/>
  <c r="D71" i="2"/>
  <c r="D109" i="2"/>
  <c r="E109" i="2" s="1"/>
  <c r="R73" i="2" s="1"/>
  <c r="R65" i="2"/>
  <c r="D89" i="2"/>
  <c r="E89" i="2" s="1"/>
  <c r="C22" i="14" s="1"/>
  <c r="C27" i="14" s="1"/>
</calcChain>
</file>

<file path=xl/sharedStrings.xml><?xml version="1.0" encoding="utf-8"?>
<sst xmlns="http://schemas.openxmlformats.org/spreadsheetml/2006/main" count="470" uniqueCount="303">
  <si>
    <t>Wärme</t>
  </si>
  <si>
    <t>Strom</t>
  </si>
  <si>
    <t>Gas</t>
  </si>
  <si>
    <t>Öl</t>
  </si>
  <si>
    <t>Fernwärme</t>
  </si>
  <si>
    <t>Zu bilanzierendes Gebäude aus Input Daten</t>
  </si>
  <si>
    <t>Berechnung Referenzhaus:</t>
  </si>
  <si>
    <t>Lichtkuppeln</t>
  </si>
  <si>
    <t>Außenwand (einschließlich Einbauten wie Rollladenkästen), Geschossdecken gegen Außenluft</t>
  </si>
  <si>
    <t>Außenwand gegen Erdreich, Bodemplatte, Wände und Decken zu unbeheizten Räumen</t>
  </si>
  <si>
    <t>Dach, oberste Geschossdecke, Wände zu Abseiten</t>
  </si>
  <si>
    <t>Fenster, Fenstertüren</t>
  </si>
  <si>
    <t>Dachflächenfenster,Glasdächer und Lichtbänder</t>
  </si>
  <si>
    <t>Außentüren, Türen gegen unbeheizte Räume</t>
  </si>
  <si>
    <t>KFW 40 H´t</t>
  </si>
  <si>
    <t>KFW 55 H´t</t>
  </si>
  <si>
    <t>[W/(m^2*K)]</t>
  </si>
  <si>
    <t>H´t</t>
  </si>
  <si>
    <t>Holz</t>
  </si>
  <si>
    <t>Werte GEG 2020</t>
  </si>
  <si>
    <t>kWh/a</t>
  </si>
  <si>
    <t>Stahlbeton</t>
  </si>
  <si>
    <t>Betrachtungszeitraum</t>
  </si>
  <si>
    <t>Name</t>
  </si>
  <si>
    <t>Suchbegriff</t>
  </si>
  <si>
    <t>Kalksandstein</t>
  </si>
  <si>
    <t>Effizienzhaus 55</t>
  </si>
  <si>
    <t>Effizienzhaus 40</t>
  </si>
  <si>
    <t>Mindestanforderung</t>
  </si>
  <si>
    <t>Erhöhte Anforderung</t>
  </si>
  <si>
    <t>GWP KG 300</t>
  </si>
  <si>
    <t>GWP KG 400</t>
  </si>
  <si>
    <t>GWP KG 360</t>
  </si>
  <si>
    <t>GWP KG 330</t>
  </si>
  <si>
    <t>NGF</t>
  </si>
  <si>
    <t>GWP Gebäudekonstruktion (KG300 + KG400)</t>
  </si>
  <si>
    <t>GWP Herstellung Gebäudekonstruktion (Modul A1-A3)</t>
  </si>
  <si>
    <t>GWP Ersatz/Austausch Gebäudekonstruktion (Modul B4 (ohne Modul D))</t>
  </si>
  <si>
    <t>GWP Lebensende Gebäudekonstruktion (Modul C3, C4)</t>
  </si>
  <si>
    <t>GWP Gutschriften Gebäudekonstruktion (Modul D)</t>
  </si>
  <si>
    <t>GEG 2020</t>
  </si>
  <si>
    <t>Projektname</t>
  </si>
  <si>
    <t>GEBÄUDEKONSTRUKTION</t>
  </si>
  <si>
    <t>GEBÄUDEBETRIEB</t>
  </si>
  <si>
    <t>Notwendige Angaben:</t>
  </si>
  <si>
    <t xml:space="preserve">Optionale Angaben: </t>
  </si>
  <si>
    <t>Solarthermie</t>
  </si>
  <si>
    <t>Hackschnitzel</t>
  </si>
  <si>
    <t>Heizkörper</t>
  </si>
  <si>
    <t>Flächenheizung</t>
  </si>
  <si>
    <t>Lüftung</t>
  </si>
  <si>
    <t>PV</t>
  </si>
  <si>
    <t>Gas Brennwert 20-120 kW</t>
  </si>
  <si>
    <t>Öl Brennwert 20-120 kW</t>
  </si>
  <si>
    <t>Hackschnitzelkessel 20-120 kW</t>
  </si>
  <si>
    <t>Fernwärme 20-120 kW</t>
  </si>
  <si>
    <t>Strom Wärmepumpe Luf-Wasser 14 kW</t>
  </si>
  <si>
    <t>Strom Wärmepumpe Sole-Wasser (0/35)</t>
  </si>
  <si>
    <t>Bauart</t>
  </si>
  <si>
    <t>Energieträger (Thermisch)</t>
  </si>
  <si>
    <t>Faktoren GWP für Strom</t>
  </si>
  <si>
    <t>Strom für Gebäudebetrieb 2018 (de)</t>
  </si>
  <si>
    <t>Berechnung GWP Wärme [kg CO2 eq.]</t>
  </si>
  <si>
    <t>Berechnung GWP Strom [kg CO2 eq.]</t>
  </si>
  <si>
    <t>Berechnung Strom Erzeugung eigene PV</t>
  </si>
  <si>
    <t>PEHOBA_Hotel_Holz_GEG2020_AkustikMindest.xlsx</t>
  </si>
  <si>
    <t>PEHOBA_Hotel_KS_GEG2020_AkustikMindest.xlsx</t>
  </si>
  <si>
    <t>PEHOBA_Hotel_StB_GEG2020_AkustikMindest.xlsx</t>
  </si>
  <si>
    <t>PEHOBA_Hotel_Wärme_Luft_WP_Flächenheizung.xlsx</t>
  </si>
  <si>
    <t>m²</t>
  </si>
  <si>
    <t>Stück</t>
  </si>
  <si>
    <t>Faktoren GWP für Wärme je Energieträger</t>
  </si>
  <si>
    <t>Berechnung GWP Wärme + Strom [kg CO2 eq.]</t>
  </si>
  <si>
    <t>Konstruktion</t>
  </si>
  <si>
    <t>KG320</t>
  </si>
  <si>
    <t>KG330</t>
  </si>
  <si>
    <t>KG340</t>
  </si>
  <si>
    <t>KG350</t>
  </si>
  <si>
    <t>KG360</t>
  </si>
  <si>
    <t>KG400</t>
  </si>
  <si>
    <t>KG430</t>
  </si>
  <si>
    <t>KG440</t>
  </si>
  <si>
    <t>Herstellung (A1-A3)</t>
  </si>
  <si>
    <t>Ersatz/Austausch (B4)</t>
  </si>
  <si>
    <t>Gutschriften (D)</t>
  </si>
  <si>
    <t>Lebensende (C3, C4)</t>
  </si>
  <si>
    <t>PEHOBA_Hotel_KS_EH_40_AkustikErhöht.xlsx</t>
  </si>
  <si>
    <t>PEHOBA_Hotel_KS_EH_40_AkustikMindest.xlsx</t>
  </si>
  <si>
    <t>PEHOBA_Hotel_KS_EH_55_AkustikErhöht.xlsx</t>
  </si>
  <si>
    <t>PEHOBA_Hotel_KS_EH_55_AkustikMindest.xlsx</t>
  </si>
  <si>
    <t>PEHOBA_Hotel_KS_GEG2020_AkustikErhöht.xlsx</t>
  </si>
  <si>
    <t>PEHOBA_Hotel_Lüftung.xlsx</t>
  </si>
  <si>
    <t>Stahlbeton-GEG 2020-Mindestanforderung</t>
  </si>
  <si>
    <t>Stahlbeton-GEG 2020-Erhöhte Anforderung</t>
  </si>
  <si>
    <t>Stahlbeton-Effizienzhaus 55-Mindestanforderung</t>
  </si>
  <si>
    <t>Stahlbeton-Effizienzhaus 55-Erhöhte Anforderung</t>
  </si>
  <si>
    <t>Stahlbeton-Effizienzhaus 40-Mindestanforderung</t>
  </si>
  <si>
    <t>Stahlbeton-Effizienzhaus 40-Erhöhte Anforderung</t>
  </si>
  <si>
    <t>Holz-GEG 2020-Mindestanforderung</t>
  </si>
  <si>
    <t>Holz-GEG 2020-Erhöhte Anforderung</t>
  </si>
  <si>
    <t>Holz-Effizienzhaus 55-Mindestanforderung</t>
  </si>
  <si>
    <t>Holz-Effizienzhaus 55-Erhöhte Anforderung</t>
  </si>
  <si>
    <t>Holz-Effizienzhaus 40-Mindestanforderung</t>
  </si>
  <si>
    <t>Holz-Effizienzhaus 40-Erhöhte Anforderung</t>
  </si>
  <si>
    <t>Kalksandstein-GEG 2020-Mindestanforderung</t>
  </si>
  <si>
    <t>Kalksandstein-GEG 2020-Erhöhte Anforderung</t>
  </si>
  <si>
    <t>Kalksandstein-Effizienzhaus 55-Mindestanforderung</t>
  </si>
  <si>
    <t>Kalksandstein-Effizienzhaus 55-Erhöhte Anforderung</t>
  </si>
  <si>
    <t>Kalksandstein-Effizienzhaus 40-Mindestanforderung</t>
  </si>
  <si>
    <t>Kalksandstein-Effizienzhaus 40-Erhöhte Anforderung</t>
  </si>
  <si>
    <t>Wärme-Gas-Heizkörper</t>
  </si>
  <si>
    <t>Wärme-Öl-Heizkörper</t>
  </si>
  <si>
    <t>Wärme-Fernwärme-Heizkörper</t>
  </si>
  <si>
    <t>PEHOBA_Hotel_StB_GEG2020_AkustikErhöht.xlsx</t>
  </si>
  <si>
    <t>PEHOBA_Hotel_StB_EH_55_AkustikMindest.xlsx</t>
  </si>
  <si>
    <t>PEHOBA_Hotel_StB_EH_55_AkustikErhöht.xlsx</t>
  </si>
  <si>
    <t>PEHOBA_Hotel_StB_EH_40_AkustikMindest.xlsx</t>
  </si>
  <si>
    <t>PEHOBA_Hotel_StB_EH_40_AkustikErhöht.xlsx</t>
  </si>
  <si>
    <t>PEHOBA_Hotel_Holz_GEG2020_AkustikErhöht.xlsx</t>
  </si>
  <si>
    <t>PEHOBA_Hotel_Holz_EH_55_AkustikMindest.xlsx</t>
  </si>
  <si>
    <t>PEHOBA_Hotel_Holz_EH_55_AkustikErhöht.xlsx</t>
  </si>
  <si>
    <t>PEHOBA_Hotel_Holz_EH_40_AkustikMindest.xlsx</t>
  </si>
  <si>
    <t>PEHOBA_Hotel_Holz_EH_40_AkustikErhöht.xlsx</t>
  </si>
  <si>
    <t>PEHOBA_Hotel_Wärme_Öl_Heizkörper.xlsx</t>
  </si>
  <si>
    <t>PEHOBA_Hotel_Wärme_Gas_Heizkörper.xlsx</t>
  </si>
  <si>
    <t>PEHOBA_Hotel_Wärme_Hackschnitzel_Heizkörper.xlsx</t>
  </si>
  <si>
    <t>PEHOBA_Hotel_Wärme_Fernwärme_Heizkörper.xlsx</t>
  </si>
  <si>
    <t>PEHOBA_Hotel_Wärme_Erd_WP_Flächenheizung.xlsx</t>
  </si>
  <si>
    <t>Abbildungen für Ausgabe</t>
  </si>
  <si>
    <t>Gebäude, gesamt</t>
  </si>
  <si>
    <t>Lebenszyklusmodule</t>
  </si>
  <si>
    <t>Gebäude, Details</t>
  </si>
  <si>
    <t>Gebäudebetrieb (B6)</t>
  </si>
  <si>
    <t>Gebäudekonstruktion</t>
  </si>
  <si>
    <t>Gründung / Fundamente (KG320)</t>
  </si>
  <si>
    <t>Außenwände / -fenster / -türen (KG330)</t>
  </si>
  <si>
    <t>Innenwände / -türen (KG340)</t>
  </si>
  <si>
    <t>Geschossdecken / Böden (KG350)</t>
  </si>
  <si>
    <t>Dach (KG360)</t>
  </si>
  <si>
    <t>Wärmerzeugung (KG420)</t>
  </si>
  <si>
    <t>Lüftung (KG430)</t>
  </si>
  <si>
    <t>Strombereitstellung (KG440)</t>
  </si>
  <si>
    <t>Gebäudekonstruktion, Details</t>
  </si>
  <si>
    <t>Gebäudebetrieb, Details</t>
  </si>
  <si>
    <t>NRF</t>
  </si>
  <si>
    <t>[kg CO2 eq.]</t>
  </si>
  <si>
    <t>[t CO2 eq.]</t>
  </si>
  <si>
    <t>PEHOBA: Mittelwert 3</t>
  </si>
  <si>
    <t>t CO2-Äquiv.</t>
  </si>
  <si>
    <t>Beitrag zum Klimawandel (GWP)</t>
  </si>
  <si>
    <t>EINGABE: Gebäudedaten</t>
  </si>
  <si>
    <t>GWP KG 320</t>
  </si>
  <si>
    <t>GWP KG 340</t>
  </si>
  <si>
    <t>GWP KG 350</t>
  </si>
  <si>
    <t>GWP KG 420</t>
  </si>
  <si>
    <t>GWP KG 430</t>
  </si>
  <si>
    <t>GWP KG 440</t>
  </si>
  <si>
    <t>Drop-Down Menü</t>
  </si>
  <si>
    <t>Faktor Abweichung</t>
  </si>
  <si>
    <t>Betrieb: Jahre</t>
  </si>
  <si>
    <t>PV Anlage [m²]</t>
  </si>
  <si>
    <t>kg CO2-Äquiv./1m² NRF * 1a</t>
  </si>
  <si>
    <t>[kg CO2-Äquiv]</t>
  </si>
  <si>
    <t>Berechnung GWP Wärme</t>
  </si>
  <si>
    <t>Berechnung GWP Strom</t>
  </si>
  <si>
    <t>Berechnung GWP Wärme + Strom</t>
  </si>
  <si>
    <t>Berechnung GWP Gutschrift PV</t>
  </si>
  <si>
    <t>Abgleich Wahl "NRF"</t>
  </si>
  <si>
    <t>NRF geschätzt [m²]</t>
  </si>
  <si>
    <t>Gebäude je funkt. Einheit  (je 1m² NRF * 1a)</t>
  </si>
  <si>
    <t>Umrechnung PV</t>
  </si>
  <si>
    <t>kWh Strom pro Jahr (für die zu berücksichtigende Anlage)</t>
  </si>
  <si>
    <t>LD = 20a</t>
  </si>
  <si>
    <t>Nebenrechnung: PV (KG440)</t>
  </si>
  <si>
    <t>Nebenrechnung: ST (KG420)</t>
  </si>
  <si>
    <t>KG300</t>
  </si>
  <si>
    <t>KG420</t>
  </si>
  <si>
    <t>Nebenrechnung: Lüftung (KG430)</t>
  </si>
  <si>
    <t>Gutschriften PV</t>
  </si>
  <si>
    <t>Berechnung GWP Wärme + Strom (inkl. Gutschrift)</t>
  </si>
  <si>
    <t>Betrieb (B6) - ohne Gutschrift PV</t>
  </si>
  <si>
    <t>Betrieb (B6) - inkl.  Gutschrift PV</t>
  </si>
  <si>
    <t>Gutschriften (D) - ohne B6</t>
  </si>
  <si>
    <t>Gutschriften (D) - inkl. B6</t>
  </si>
  <si>
    <t>Gutschrift PV</t>
  </si>
  <si>
    <t>Mittelwert-Berechnung: nur Konstruktion</t>
  </si>
  <si>
    <t>Ansatz PEHOBA-Hotel</t>
  </si>
  <si>
    <t>Zimmergröße</t>
  </si>
  <si>
    <t>kWh/m²*a</t>
  </si>
  <si>
    <t>Eingabe optional</t>
  </si>
  <si>
    <t>Akustik-Niveau</t>
  </si>
  <si>
    <t>Energie-Niveau</t>
  </si>
  <si>
    <t>Gesamtgebäude, inkl. Gutschrift</t>
  </si>
  <si>
    <t>Gesamtgebäude, exkl. Gutschrift</t>
  </si>
  <si>
    <t>PV Anlage [kWp]</t>
  </si>
  <si>
    <t>Mittelwert aller Konstruktionen</t>
  </si>
  <si>
    <t>Gebäudekonstruktion Gesamt</t>
  </si>
  <si>
    <t>Gebäudekonstruktion, nach KG</t>
  </si>
  <si>
    <t>Input Tabelle für Konstruktionsauflösung mit Mittelwert Anzeige</t>
  </si>
  <si>
    <t>PEHOBA: Beispielgebäude, Konstruktion</t>
  </si>
  <si>
    <t>Gebäude:
Lebenszyklus, gesamt</t>
  </si>
  <si>
    <t>Gebäude:
Details</t>
  </si>
  <si>
    <t>Gebäude:
Lebenszyklusmodule</t>
  </si>
  <si>
    <t>Gebäudekonstruktion:
Details</t>
  </si>
  <si>
    <t>Gebäudebetrieb:
Details</t>
  </si>
  <si>
    <t>Gebäudekonstruktion:
Gesamt</t>
  </si>
  <si>
    <t>Gebäudebetrieb:
Gesamt</t>
  </si>
  <si>
    <t>PEHOBA-Ansatz</t>
  </si>
  <si>
    <t>ohne</t>
  </si>
  <si>
    <t>k.A.</t>
  </si>
  <si>
    <t>Gebäudelebenszyklus</t>
  </si>
  <si>
    <t>Gebäude-Nettoraumfläche (Eingabe)</t>
  </si>
  <si>
    <t>ALLGEMEIN</t>
  </si>
  <si>
    <t>Geplante Anzahl Hotelzimmer</t>
  </si>
  <si>
    <t>Geplante Netto-Raumfläche (NRF)</t>
  </si>
  <si>
    <t>Zimmeranzahl (Eingabe)</t>
  </si>
  <si>
    <t>Zimmeranzahl (genutzt))</t>
  </si>
  <si>
    <t>Solarthermie [m²]</t>
  </si>
  <si>
    <t>Wärme (Eingabe) [kWh/a]</t>
  </si>
  <si>
    <t>Strom (Eingabe) [kWh/a]</t>
  </si>
  <si>
    <t>Strom (gewählt [kWh/a]</t>
  </si>
  <si>
    <t>nach vorrangig verwendetem Baustoff</t>
  </si>
  <si>
    <t>Geplante Bauweise:</t>
  </si>
  <si>
    <t>Geplanter Energiestandard:</t>
  </si>
  <si>
    <t>Luft-WP (Strom)</t>
  </si>
  <si>
    <t>Erd-WP (Strom)</t>
  </si>
  <si>
    <t>Gebäude-Nettoraumfläche (Nebenrechnung)</t>
  </si>
  <si>
    <t>Gebäude-Nettoraumfläche (gewählt)</t>
  </si>
  <si>
    <t>kWh Strom je 1m² pro Jahr (gem. DS, inkl. Berücksichtigung Netzverluste)</t>
  </si>
  <si>
    <t>Gebäudebetrieb (B6);
inkl. pot. Gutschrift aus PV</t>
  </si>
  <si>
    <t>Gebäudebetrieb (B6)
inkl. pot. Gutschrift aus PV</t>
  </si>
  <si>
    <t>Analyseumfang</t>
  </si>
  <si>
    <t>Gebäudebetrieb</t>
  </si>
  <si>
    <t>Allgemein:</t>
  </si>
  <si>
    <t>Geplante Anlagengröße</t>
  </si>
  <si>
    <t>Energiebedarf für Wärme (geplant)</t>
  </si>
  <si>
    <t>Energiebedarf für Strom (geplant)</t>
  </si>
  <si>
    <t>aus Gebäudekonstruktion</t>
  </si>
  <si>
    <t>Gebäude, gesamt, 
(inkl. potenzieller Gutschrift aus PV)</t>
  </si>
  <si>
    <t>Potenzielle Gutschrift aus PV</t>
  </si>
  <si>
    <t>Gebäudebetrieb
(inkl.potenzieller Gutschrift aus PV)</t>
  </si>
  <si>
    <t>Gebäude, gesamt
(exkl. Anrechnung PV u. ST)</t>
  </si>
  <si>
    <t>ST</t>
  </si>
  <si>
    <t>Geplanter Energieträger Wärme</t>
  </si>
  <si>
    <t>Hinweise</t>
  </si>
  <si>
    <t>Weiter mit spezifischer Eingabe für</t>
  </si>
  <si>
    <t>Ansatz NEUBAU: Wärme [kWh/(a*m²)]</t>
  </si>
  <si>
    <t>Ansatz NEUBAU: Strom [kWh/(a*m²)]</t>
  </si>
  <si>
    <t>Wärme (gewählt) [kWh/a]</t>
  </si>
  <si>
    <t>angelehnt an</t>
  </si>
  <si>
    <t xml:space="preserve">Einsatz von Photovoltaik geplant? </t>
  </si>
  <si>
    <t>Einsatz von Solarthermie geplant?</t>
  </si>
  <si>
    <t>Geplante Anforderung an Schallschutz:</t>
  </si>
  <si>
    <t>in Anlehnung an DIN4109</t>
  </si>
  <si>
    <t>aus Gebäudebetrieb</t>
  </si>
  <si>
    <t>PEHOBA-Beispielgebäude:
nur Gebäudekonstruktion</t>
  </si>
  <si>
    <t>pot. Gutschrift aus PV</t>
  </si>
  <si>
    <t>Gewählte Netto-Raumfläche (NRF)</t>
  </si>
  <si>
    <t>Lebenszyklus
(inkl.  pot. Gutschrift aus PV)</t>
  </si>
  <si>
    <t>Fr. Katrin Lenz</t>
  </si>
  <si>
    <t>katrin.lenz@ibp.fraunhofer.de</t>
  </si>
  <si>
    <t>Hr. Philip Leistner</t>
  </si>
  <si>
    <t>philip.leistner@ibp.fraunhofer.de</t>
  </si>
  <si>
    <t>Disclaimer</t>
  </si>
  <si>
    <t>Rückfragen zum Planungstool PEHOBA bzw. zum Projekt richten Sie bitte an:</t>
  </si>
  <si>
    <r>
      <t xml:space="preserve">Die Inhalte des vorliegenden Excel-Tools (namentlich "Planungstool PEHOBA") wurden im Rahmen der Förderbekanntnmachung LIFT Klima mit Hilfe von Fördermitteln des deutschen Bundesministeriums für Wirtschaft und Klimaschutz (BMWK) erarbeitet und stellen Forschungsergebnisse dar.
</t>
    </r>
    <r>
      <rPr>
        <u/>
        <sz val="9"/>
        <color theme="1"/>
        <rFont val="Frutiger 45 Light"/>
        <family val="2"/>
        <scheme val="minor"/>
      </rPr>
      <t>Zielgruppe des Planungstools PEHOBA</t>
    </r>
    <r>
      <rPr>
        <sz val="9"/>
        <color theme="1"/>
        <rFont val="Frutiger 45 Light"/>
        <family val="2"/>
        <scheme val="minor"/>
      </rPr>
      <t xml:space="preserve"> sind kleine, mittelere Unternehmen (KMU) der Hotelbranche, die auf einfache und intuitive Weise in die Umweltbewertung von Hotelbauvorhaben - insbesondere in frühen Planungsphasen - Einstieg finden sollen.   
</t>
    </r>
    <r>
      <rPr>
        <u/>
        <sz val="9"/>
        <color theme="1"/>
        <rFont val="Frutiger 45 Light"/>
        <family val="2"/>
        <scheme val="minor"/>
      </rPr>
      <t>Datengrundlage des Planungstools PEHOBA</t>
    </r>
    <r>
      <rPr>
        <sz val="9"/>
        <color theme="1"/>
        <rFont val="Frutiger 45 Light"/>
        <family val="2"/>
        <scheme val="minor"/>
      </rPr>
      <t xml:space="preserve"> ist eine im Projekt erarbeitete spezifische Gebäude-Datenbasis für Hotelbauvorhaben. Mit Hilfe der Methode der Gebäudeökobilanz und unter Zuhilfenahme öffentlich verfügbarer Umweltinformationen (https://www.oekobaudat.de/) können die CO</t>
    </r>
    <r>
      <rPr>
        <vertAlign val="subscript"/>
        <sz val="9"/>
        <color theme="1"/>
        <rFont val="Frutiger 45 Light"/>
        <family val="2"/>
        <scheme val="minor"/>
      </rPr>
      <t>2</t>
    </r>
    <r>
      <rPr>
        <sz val="9"/>
        <color theme="1"/>
        <rFont val="Frutiger 45 Light"/>
        <family val="2"/>
        <scheme val="minor"/>
      </rPr>
      <t xml:space="preserve">-äquivalenten Emissionen über den Gebäudelebenszyklus abgeschätzt werden, die mit dem Hotelbau verbunden sind.
</t>
    </r>
    <r>
      <rPr>
        <u/>
        <sz val="9"/>
        <color theme="1"/>
        <rFont val="Frutiger 45 Light"/>
        <family val="2"/>
        <scheme val="minor"/>
      </rPr>
      <t>Die Anwendungsfälle des Planungstools  PEHOBA</t>
    </r>
    <r>
      <rPr>
        <sz val="9"/>
        <color theme="1"/>
        <rFont val="Frutiger 45 Light"/>
        <family val="2"/>
        <scheme val="minor"/>
      </rPr>
      <t xml:space="preserve"> ergeben sich aus den Möglichkeitern der Dateneingabe. Es können sowohl Neubauten als auch Bestandsbauten analysiert werden. Es kann ausgewählt werden zwischen: drei Bauweisen, drei energetischen Anforderungsniveaus, zwei akustischen Anforderungsniveaus sowie einer freien Energieversorgung (Wärme, Strom). Das Gebäude(ergebnis) kann über die geplante Netto-Raumfläche (NRF) oder die Anzahl der geplanten Hotelzimmer skaliert werden.
</t>
    </r>
    <r>
      <rPr>
        <u/>
        <sz val="9"/>
        <color theme="1"/>
        <rFont val="Frutiger 45 Light"/>
        <family val="2"/>
        <scheme val="minor"/>
      </rPr>
      <t>Die Ergebnisse des Tools stellen keinen Gebäudenachweis für die Ökobilanz im Sinne:</t>
    </r>
    <r>
      <rPr>
        <sz val="9"/>
        <color theme="1"/>
        <rFont val="Frutiger 45 Light"/>
        <family val="2"/>
        <scheme val="minor"/>
      </rPr>
      <t xml:space="preserve">
- der Nachhaltigkeitszertifizierung (vergleiche System der DGNB unter https://www.dgnb-system.de/de/);
- der Bundesförderung energieffiziente Gebäude (BEG);
- des KfW-Förderung für Klimafreundliches Bauen oder
- des Qualitätsiegels Nachhaltiges Bauen (QNG) dar.
Die Methodik zur Ökobilanz im Planungstool PEHOBA folgt in ausgewählten Aspekten den genannten Systemen und Programmen, stellt jedoch keine kongruenten Ergebnisse bereit.
</t>
    </r>
    <r>
      <rPr>
        <u/>
        <sz val="9"/>
        <color theme="1"/>
        <rFont val="Frutiger 45 Light"/>
        <family val="2"/>
        <scheme val="minor"/>
      </rPr>
      <t xml:space="preserve">Weiterführend Informationen zum Projekt finden Sie unter: </t>
    </r>
    <r>
      <rPr>
        <sz val="9"/>
        <color theme="1"/>
        <rFont val="Frutiger 45 Light"/>
        <family val="2"/>
        <scheme val="minor"/>
      </rPr>
      <t xml:space="preserve">
https://kompetenzzentrum-tourismus.de/tourismusfoerderung/lift-klima/fraunhofer-ibp/</t>
    </r>
  </si>
  <si>
    <t>Hintergrundberechnung</t>
  </si>
  <si>
    <t>Hinweise zur Anwendung</t>
  </si>
  <si>
    <t>Eingabe für spezifische Planung</t>
  </si>
  <si>
    <t>Strombereitstellung (Abschätzung)</t>
  </si>
  <si>
    <t>Umrechnung ST</t>
  </si>
  <si>
    <t>gem. DS "Nutzung Flachkollektor"</t>
  </si>
  <si>
    <t>Wärmebereitstellung (Abschätzung)</t>
  </si>
  <si>
    <t>für die zu berücksichtigende Anlage</t>
  </si>
  <si>
    <r>
      <t xml:space="preserve">Gebäude je 1m² Netto-Raumfläche (NRF)
und je 1 Jahr
</t>
    </r>
    <r>
      <rPr>
        <sz val="9"/>
        <color theme="1"/>
        <rFont val="Frutiger LT Com 45 Light"/>
        <family val="2"/>
      </rPr>
      <t>[kg CO</t>
    </r>
    <r>
      <rPr>
        <vertAlign val="subscript"/>
        <sz val="9"/>
        <color theme="1"/>
        <rFont val="Frutiger LT Com 45 Light"/>
        <family val="2"/>
      </rPr>
      <t>2</t>
    </r>
    <r>
      <rPr>
        <sz val="9"/>
        <color theme="1"/>
        <rFont val="Frutiger LT Com 45 Light"/>
        <family val="2"/>
      </rPr>
      <t>-Äquiv./(m²</t>
    </r>
    <r>
      <rPr>
        <vertAlign val="subscript"/>
        <sz val="9"/>
        <color theme="1"/>
        <rFont val="Frutiger LT Com 45 Light"/>
        <family val="2"/>
      </rPr>
      <t>NRF</t>
    </r>
    <r>
      <rPr>
        <sz val="9"/>
        <color theme="1"/>
        <rFont val="Frutiger LT Com 45 Light"/>
        <family val="2"/>
      </rPr>
      <t>*a)]</t>
    </r>
  </si>
  <si>
    <r>
      <t xml:space="preserve">Gebäude gesamt über 50 Jahre
</t>
    </r>
    <r>
      <rPr>
        <sz val="9"/>
        <color theme="1"/>
        <rFont val="Frutiger LT Com 45 Light"/>
        <family val="2"/>
      </rPr>
      <t>[t CO</t>
    </r>
    <r>
      <rPr>
        <vertAlign val="subscript"/>
        <sz val="9"/>
        <color theme="1"/>
        <rFont val="Frutiger LT Com 45 Light"/>
        <family val="2"/>
      </rPr>
      <t>2</t>
    </r>
    <r>
      <rPr>
        <sz val="9"/>
        <color theme="1"/>
        <rFont val="Frutiger LT Com 45 Light"/>
        <family val="2"/>
      </rPr>
      <t>-Äquiv.]</t>
    </r>
  </si>
  <si>
    <t>davon aus Wärme</t>
  </si>
  <si>
    <t>davon aus Strom</t>
  </si>
  <si>
    <t xml:space="preserve">PLANUNGSTOOL PEHOBA </t>
  </si>
  <si>
    <t>Ausgabe 01:</t>
  </si>
  <si>
    <t>Ausgabe 02:</t>
  </si>
  <si>
    <t>Ausgabe 03:</t>
  </si>
  <si>
    <t>Ausgabe 04:</t>
  </si>
  <si>
    <t>Tabellarische Übersicht für das Gebäude gesamt</t>
  </si>
  <si>
    <t>Gebäudekonstruktion - Details</t>
  </si>
  <si>
    <t>Gebäudebetrieb - Details</t>
  </si>
  <si>
    <t>Wärme-Hackschnitzel-Heizkörper</t>
  </si>
  <si>
    <t>Wärme-Luft-WP (Strom)-Flächenheizung</t>
  </si>
  <si>
    <t>Wärme-Erd-WP (Strom)-Flächenheizung</t>
  </si>
  <si>
    <r>
      <t>kg CO</t>
    </r>
    <r>
      <rPr>
        <vertAlign val="subscript"/>
        <sz val="11"/>
        <color theme="2" tint="0.79998168889431442"/>
        <rFont val="Frutiger 45 Light"/>
        <family val="2"/>
        <scheme val="minor"/>
      </rPr>
      <t>2</t>
    </r>
    <r>
      <rPr>
        <sz val="11"/>
        <color theme="2" tint="0.79998168889431442"/>
        <rFont val="Frutiger 45 Light"/>
        <family val="2"/>
        <scheme val="minor"/>
      </rPr>
      <t>-Äquiv./kWh</t>
    </r>
  </si>
  <si>
    <r>
      <t xml:space="preserve">Anzahl Zimmer je 1m² NRF </t>
    </r>
    <r>
      <rPr>
        <sz val="11"/>
        <color theme="2" tint="0.79998168889431442"/>
        <rFont val="Calibri"/>
        <family val="2"/>
      </rPr>
      <t>Ø</t>
    </r>
  </si>
  <si>
    <r>
      <t>kgCO</t>
    </r>
    <r>
      <rPr>
        <vertAlign val="subscript"/>
        <sz val="11"/>
        <color theme="2" tint="0.79998168889431442"/>
        <rFont val="Frutiger 45 Light"/>
        <family val="2"/>
        <scheme val="minor"/>
      </rPr>
      <t>2</t>
    </r>
    <r>
      <rPr>
        <sz val="11"/>
        <color theme="2" tint="0.79998168889431442"/>
        <rFont val="Frutiger 45 Light"/>
        <family val="2"/>
        <scheme val="minor"/>
      </rPr>
      <t>-Äquiv./m²*a</t>
    </r>
  </si>
  <si>
    <r>
      <t>kg CO</t>
    </r>
    <r>
      <rPr>
        <b/>
        <vertAlign val="subscript"/>
        <sz val="11"/>
        <color theme="2" tint="0.79998168889431442"/>
        <rFont val="Frutiger 45 Light"/>
        <family val="2"/>
        <scheme val="minor"/>
      </rPr>
      <t>2</t>
    </r>
    <r>
      <rPr>
        <b/>
        <sz val="11"/>
        <color theme="2" tint="0.79998168889431442"/>
        <rFont val="Frutiger 45 Light"/>
        <family val="2"/>
        <scheme val="minor"/>
      </rPr>
      <t>-Äquiv./m²*a</t>
    </r>
  </si>
  <si>
    <r>
      <t>t CO</t>
    </r>
    <r>
      <rPr>
        <b/>
        <vertAlign val="subscript"/>
        <sz val="10"/>
        <color theme="2" tint="0.79998168889431442"/>
        <rFont val="Frutiger 45 Light"/>
        <family val="2"/>
        <scheme val="minor"/>
      </rPr>
      <t>2</t>
    </r>
    <r>
      <rPr>
        <b/>
        <sz val="10"/>
        <color theme="2" tint="0.79998168889431442"/>
        <rFont val="Frutiger 45 Light"/>
        <family val="2"/>
        <scheme val="minor"/>
      </rPr>
      <t>-Äquiv.</t>
    </r>
  </si>
  <si>
    <r>
      <t>[t CO</t>
    </r>
    <r>
      <rPr>
        <vertAlign val="subscript"/>
        <sz val="11"/>
        <color theme="2" tint="0.79998168889431442"/>
        <rFont val="Frutiger 45 Light"/>
        <family val="2"/>
        <scheme val="minor"/>
      </rPr>
      <t>2</t>
    </r>
    <r>
      <rPr>
        <sz val="11"/>
        <color theme="2" tint="0.79998168889431442"/>
        <rFont val="Frutiger 45 Light"/>
        <family val="2"/>
        <scheme val="minor"/>
      </rPr>
      <t>-Äquiv.]</t>
    </r>
  </si>
  <si>
    <r>
      <t>kgCO</t>
    </r>
    <r>
      <rPr>
        <vertAlign val="subscript"/>
        <sz val="11"/>
        <color theme="2" tint="0.79998168889431442"/>
        <rFont val="Frutiger 45 Light"/>
        <family val="2"/>
        <scheme val="minor"/>
      </rPr>
      <t>2</t>
    </r>
    <r>
      <rPr>
        <sz val="11"/>
        <color theme="2" tint="0.79998168889431442"/>
        <rFont val="Frutiger 45 Light"/>
        <family val="2"/>
        <scheme val="minor"/>
      </rPr>
      <t>-Äquiv./(m²*a)</t>
    </r>
  </si>
  <si>
    <r>
      <t>kgCO</t>
    </r>
    <r>
      <rPr>
        <vertAlign val="subscript"/>
        <sz val="11"/>
        <color theme="2" tint="0.79998168889431442"/>
        <rFont val="Frutiger 45 Light"/>
        <family val="2"/>
        <scheme val="minor"/>
      </rPr>
      <t>2</t>
    </r>
    <r>
      <rPr>
        <sz val="11"/>
        <color theme="2" tint="0.79998168889431442"/>
        <rFont val="Frutiger 45 Light"/>
        <family val="2"/>
        <scheme val="minor"/>
      </rPr>
      <t>-Äquiv.</t>
    </r>
  </si>
  <si>
    <t>Gebäudekonstruktion und Gebäudebetrieb sowie Details einzelner Lebenszyklusmodule</t>
  </si>
  <si>
    <r>
      <t>Ausgabe 03: Gebäudekonstruktion Details - Potenzielle CO</t>
    </r>
    <r>
      <rPr>
        <b/>
        <vertAlign val="subscript"/>
        <sz val="9"/>
        <rFont val="Frutiger LT Com 45 Light"/>
        <family val="2"/>
      </rPr>
      <t>2</t>
    </r>
    <r>
      <rPr>
        <b/>
        <sz val="9"/>
        <rFont val="Frutiger LT Com 45 Light"/>
        <family val="2"/>
      </rPr>
      <t>-äquivalente Emissionen (CO</t>
    </r>
    <r>
      <rPr>
        <b/>
        <vertAlign val="subscript"/>
        <sz val="9"/>
        <rFont val="Frutiger LT Com 45 Light"/>
        <family val="2"/>
      </rPr>
      <t>2</t>
    </r>
    <r>
      <rPr>
        <b/>
        <sz val="9"/>
        <rFont val="Frutiger LT Com 45 Light"/>
        <family val="2"/>
      </rPr>
      <t>-Äquiv.)</t>
    </r>
  </si>
  <si>
    <r>
      <t>Ausgabe 04: Gebäudebetrieb Details  - Potenzielle CO</t>
    </r>
    <r>
      <rPr>
        <b/>
        <vertAlign val="subscript"/>
        <sz val="9"/>
        <color theme="0"/>
        <rFont val="Frutiger LT Com 45 Light"/>
        <family val="2"/>
      </rPr>
      <t>2</t>
    </r>
    <r>
      <rPr>
        <b/>
        <sz val="9"/>
        <color theme="0"/>
        <rFont val="Frutiger LT Com 45 Light"/>
        <family val="2"/>
      </rPr>
      <t>-äquivalente Emissionen (CO</t>
    </r>
    <r>
      <rPr>
        <b/>
        <vertAlign val="subscript"/>
        <sz val="9"/>
        <color theme="0"/>
        <rFont val="Frutiger LT Com 45 Light"/>
        <family val="2"/>
      </rPr>
      <t>2</t>
    </r>
    <r>
      <rPr>
        <b/>
        <sz val="9"/>
        <color theme="0"/>
        <rFont val="Frutiger LT Com 45 Light"/>
        <family val="2"/>
      </rPr>
      <t>-Äquiv.)</t>
    </r>
  </si>
  <si>
    <r>
      <t>Ausgabe 01: Gebäude gesamt - Potenzielle CO</t>
    </r>
    <r>
      <rPr>
        <b/>
        <vertAlign val="subscript"/>
        <sz val="9"/>
        <rFont val="Frutiger LT Com 45 Light"/>
        <family val="2"/>
      </rPr>
      <t>2</t>
    </r>
    <r>
      <rPr>
        <b/>
        <sz val="9"/>
        <rFont val="Frutiger LT Com 45 Light"/>
        <family val="2"/>
      </rPr>
      <t>-äquivalente Emissionen (CO</t>
    </r>
    <r>
      <rPr>
        <b/>
        <vertAlign val="subscript"/>
        <sz val="9"/>
        <rFont val="Frutiger LT Com 45 Light"/>
        <family val="2"/>
      </rPr>
      <t>2</t>
    </r>
    <r>
      <rPr>
        <b/>
        <sz val="9"/>
        <rFont val="Frutiger LT Com 45 Light"/>
        <family val="2"/>
      </rPr>
      <t>-Äquiv.) in der tabellarischen Übersicht</t>
    </r>
  </si>
  <si>
    <r>
      <t>Ausgabe 02: Gebäudelebenszyklus, Gebäudekonstruktion und Gebäudebetrieb - Potenzielle CO</t>
    </r>
    <r>
      <rPr>
        <b/>
        <vertAlign val="subscript"/>
        <sz val="9"/>
        <rFont val="Frutiger LT Com 45 Light"/>
        <family val="2"/>
      </rPr>
      <t>2</t>
    </r>
    <r>
      <rPr>
        <b/>
        <sz val="9"/>
        <rFont val="Frutiger LT Com 45 Light"/>
        <family val="2"/>
      </rPr>
      <t>-äquivalente Emissionen (CO</t>
    </r>
    <r>
      <rPr>
        <b/>
        <vertAlign val="subscript"/>
        <sz val="9"/>
        <rFont val="Frutiger LT Com 45 Light"/>
        <family val="2"/>
      </rPr>
      <t>2</t>
    </r>
    <r>
      <rPr>
        <b/>
        <sz val="9"/>
        <rFont val="Frutiger LT Com 45 Light"/>
        <family val="2"/>
      </rPr>
      <t>-Äquiv.)</t>
    </r>
  </si>
  <si>
    <t>Gebäude gesamt, über 50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</si>
</sst>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#,##0.0"/>
  </numFmts>
  <fonts count="43" x14ac:knownFonts="1">
    <font>
      <sz val="11"/>
      <color theme="1"/>
      <name val="Frutiger 45 Light"/>
      <family val="2"/>
      <scheme val="minor"/>
    </font>
    <font>
      <sz val="11"/>
      <color theme="1"/>
      <name val="Frutiger LT Com 45 Light"/>
      <family val="2"/>
    </font>
    <font>
      <sz val="11"/>
      <color indexed="8"/>
      <name val="Calibri"/>
      <family val="2"/>
    </font>
    <font>
      <sz val="22"/>
      <color theme="1"/>
      <name val="Frutiger LT Com 45 Light"/>
      <family val="2"/>
    </font>
    <font>
      <b/>
      <sz val="22"/>
      <color theme="1"/>
      <name val="Frutiger LT Com 45 Light"/>
      <family val="2"/>
    </font>
    <font>
      <sz val="26"/>
      <color theme="1"/>
      <name val="Frutiger LT Com 45 Light"/>
      <family val="2"/>
    </font>
    <font>
      <b/>
      <sz val="26"/>
      <color theme="1"/>
      <name val="Frutiger LT Com 45 Light"/>
      <family val="2"/>
    </font>
    <font>
      <sz val="10"/>
      <color theme="1"/>
      <name val="Frutiger 45 Light"/>
      <family val="2"/>
      <scheme val="minor"/>
    </font>
    <font>
      <b/>
      <u/>
      <sz val="10"/>
      <color theme="1"/>
      <name val="Frutiger 45 Light"/>
      <family val="2"/>
      <scheme val="minor"/>
    </font>
    <font>
      <sz val="9"/>
      <color theme="1"/>
      <name val="Frutiger 45 Light"/>
      <family val="2"/>
      <scheme val="minor"/>
    </font>
    <font>
      <u/>
      <sz val="9"/>
      <color theme="1"/>
      <name val="Frutiger 45 Light"/>
      <family val="2"/>
      <scheme val="minor"/>
    </font>
    <font>
      <vertAlign val="subscript"/>
      <sz val="9"/>
      <color theme="1"/>
      <name val="Frutiger 45 Light"/>
      <family val="2"/>
      <scheme val="minor"/>
    </font>
    <font>
      <sz val="9"/>
      <color theme="1"/>
      <name val="Frutiger LT Com 45 Light"/>
      <family val="2"/>
    </font>
    <font>
      <sz val="9"/>
      <color theme="0"/>
      <name val="Frutiger LT Com 45 Light"/>
      <family val="2"/>
    </font>
    <font>
      <b/>
      <sz val="9"/>
      <color theme="0"/>
      <name val="Frutiger LT Com 45 Light"/>
      <family val="2"/>
    </font>
    <font>
      <b/>
      <sz val="9"/>
      <color theme="1"/>
      <name val="Frutiger LT Com 45 Light"/>
      <family val="2"/>
    </font>
    <font>
      <b/>
      <sz val="9"/>
      <name val="Frutiger LT Com 45 Light"/>
      <family val="2"/>
    </font>
    <font>
      <sz val="9"/>
      <name val="Frutiger LT Com 45 Light"/>
      <family val="2"/>
    </font>
    <font>
      <sz val="9"/>
      <color theme="9" tint="-0.249977111117893"/>
      <name val="Frutiger LT Com 45 Light"/>
      <family val="2"/>
    </font>
    <font>
      <sz val="9"/>
      <color theme="1" tint="0.499984740745262"/>
      <name val="Frutiger LT Com 45 Light"/>
      <family val="2"/>
    </font>
    <font>
      <sz val="9"/>
      <color theme="9" tint="-0.499984740745262"/>
      <name val="Frutiger LT Com 45 Light"/>
      <family val="2"/>
    </font>
    <font>
      <sz val="9"/>
      <color theme="2"/>
      <name val="Frutiger LT Com 45 Light"/>
      <family val="2"/>
    </font>
    <font>
      <sz val="8"/>
      <color theme="1"/>
      <name val="Frutiger LT Com 45 Light"/>
      <family val="2"/>
    </font>
    <font>
      <b/>
      <sz val="8"/>
      <color theme="1"/>
      <name val="Frutiger LT Com 45 Light"/>
      <family val="2"/>
    </font>
    <font>
      <b/>
      <sz val="9"/>
      <color theme="1" tint="0.499984740745262"/>
      <name val="Frutiger LT Com 45 Light"/>
      <family val="2"/>
    </font>
    <font>
      <b/>
      <sz val="14"/>
      <color theme="0"/>
      <name val="Frutiger LT Com 45 Light"/>
      <family val="2"/>
    </font>
    <font>
      <b/>
      <vertAlign val="subscript"/>
      <sz val="9"/>
      <color theme="0"/>
      <name val="Frutiger LT Com 45 Light"/>
      <family val="2"/>
    </font>
    <font>
      <vertAlign val="subscript"/>
      <sz val="9"/>
      <color theme="1"/>
      <name val="Frutiger LT Com 45 Light"/>
      <family val="2"/>
    </font>
    <font>
      <b/>
      <sz val="12"/>
      <color theme="2" tint="0.79998168889431442"/>
      <name val="Frutiger 45 Light"/>
      <family val="2"/>
      <scheme val="minor"/>
    </font>
    <font>
      <sz val="11"/>
      <color theme="2" tint="0.79998168889431442"/>
      <name val="Frutiger 45 Light"/>
      <family val="2"/>
      <scheme val="minor"/>
    </font>
    <font>
      <b/>
      <sz val="11"/>
      <color theme="2" tint="0.79998168889431442"/>
      <name val="Frutiger 45 Light"/>
      <family val="2"/>
      <scheme val="minor"/>
    </font>
    <font>
      <vertAlign val="subscript"/>
      <sz val="11"/>
      <color theme="2" tint="0.79998168889431442"/>
      <name val="Frutiger 45 Light"/>
      <family val="2"/>
      <scheme val="minor"/>
    </font>
    <font>
      <sz val="11"/>
      <color theme="2" tint="0.79998168889431442"/>
      <name val="Frutiger LT Com 45 Light"/>
      <family val="2"/>
    </font>
    <font>
      <b/>
      <sz val="11"/>
      <color theme="2" tint="0.79998168889431442"/>
      <name val="Frutiger LT Com 45 Light"/>
      <family val="2"/>
    </font>
    <font>
      <sz val="11"/>
      <color theme="2" tint="0.79998168889431442"/>
      <name val="Calibri"/>
      <family val="2"/>
    </font>
    <font>
      <b/>
      <vertAlign val="subscript"/>
      <sz val="11"/>
      <color theme="2" tint="0.79998168889431442"/>
      <name val="Frutiger 45 Light"/>
      <family val="2"/>
      <scheme val="minor"/>
    </font>
    <font>
      <sz val="8"/>
      <color theme="2" tint="0.79998168889431442"/>
      <name val="Frutiger 45 Light"/>
      <family val="2"/>
      <scheme val="minor"/>
    </font>
    <font>
      <b/>
      <sz val="8"/>
      <color theme="2" tint="0.79998168889431442"/>
      <name val="Frutiger 45 Light"/>
      <family val="2"/>
      <scheme val="minor"/>
    </font>
    <font>
      <b/>
      <sz val="10"/>
      <color theme="2" tint="0.79998168889431442"/>
      <name val="Frutiger 45 Light"/>
      <family val="2"/>
      <scheme val="minor"/>
    </font>
    <font>
      <b/>
      <vertAlign val="subscript"/>
      <sz val="10"/>
      <color theme="2" tint="0.79998168889431442"/>
      <name val="Frutiger 45 Light"/>
      <family val="2"/>
      <scheme val="minor"/>
    </font>
    <font>
      <b/>
      <sz val="14"/>
      <color theme="2" tint="0.79998168889431442"/>
      <name val="Frutiger 45 Light"/>
      <family val="2"/>
      <scheme val="minor"/>
    </font>
    <font>
      <sz val="11"/>
      <color theme="0"/>
      <name val="Frutiger 45 Light"/>
      <family val="2"/>
      <scheme val="minor"/>
    </font>
    <font>
      <b/>
      <vertAlign val="subscript"/>
      <sz val="9"/>
      <name val="Frutiger LT Com 45 Light"/>
      <family val="2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65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5" borderId="0" xfId="0" applyFont="1" applyFill="1" applyBorder="1"/>
    <xf numFmtId="0" fontId="1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0" fontId="4" fillId="5" borderId="0" xfId="0" applyFont="1" applyFill="1"/>
    <xf numFmtId="0" fontId="5" fillId="5" borderId="0" xfId="0" applyFont="1" applyFill="1"/>
    <xf numFmtId="0" fontId="5" fillId="5" borderId="0" xfId="0" applyFont="1" applyFill="1" applyBorder="1"/>
    <xf numFmtId="0" fontId="6" fillId="5" borderId="0" xfId="0" applyFont="1" applyFill="1"/>
    <xf numFmtId="3" fontId="5" fillId="5" borderId="0" xfId="0" applyNumberFormat="1" applyFont="1" applyFill="1"/>
    <xf numFmtId="2" fontId="5" fillId="5" borderId="0" xfId="0" applyNumberFormat="1" applyFont="1" applyFill="1"/>
    <xf numFmtId="0" fontId="0" fillId="5" borderId="0" xfId="0" applyFill="1"/>
    <xf numFmtId="0" fontId="0" fillId="5" borderId="6" xfId="0" applyFill="1" applyBorder="1"/>
    <xf numFmtId="0" fontId="0" fillId="5" borderId="7" xfId="0" applyFill="1" applyBorder="1"/>
    <xf numFmtId="0" fontId="8" fillId="5" borderId="4" xfId="0" applyFont="1" applyFill="1" applyBorder="1" applyAlignment="1">
      <alignment vertical="top"/>
    </xf>
    <xf numFmtId="0" fontId="7" fillId="5" borderId="0" xfId="0" applyFont="1" applyFill="1"/>
    <xf numFmtId="0" fontId="8" fillId="5" borderId="0" xfId="0" applyFont="1" applyFill="1" applyAlignment="1">
      <alignment horizontal="left" vertical="top"/>
    </xf>
    <xf numFmtId="0" fontId="7" fillId="5" borderId="0" xfId="0" applyFont="1" applyFill="1" applyAlignment="1"/>
    <xf numFmtId="0" fontId="12" fillId="5" borderId="0" xfId="0" applyFont="1" applyFill="1"/>
    <xf numFmtId="0" fontId="12" fillId="5" borderId="0" xfId="0" applyFont="1" applyFill="1" applyBorder="1"/>
    <xf numFmtId="0" fontId="12" fillId="8" borderId="2" xfId="0" applyFont="1" applyFill="1" applyBorder="1"/>
    <xf numFmtId="0" fontId="13" fillId="4" borderId="0" xfId="0" applyFont="1" applyFill="1"/>
    <xf numFmtId="0" fontId="14" fillId="4" borderId="0" xfId="0" applyFont="1" applyFill="1" applyAlignment="1"/>
    <xf numFmtId="0" fontId="15" fillId="5" borderId="0" xfId="0" applyFont="1" applyFill="1"/>
    <xf numFmtId="0" fontId="16" fillId="8" borderId="0" xfId="0" applyFont="1" applyFill="1"/>
    <xf numFmtId="0" fontId="17" fillId="8" borderId="0" xfId="0" applyFont="1" applyFill="1"/>
    <xf numFmtId="0" fontId="18" fillId="5" borderId="0" xfId="0" applyFont="1" applyFill="1"/>
    <xf numFmtId="0" fontId="19" fillId="5" borderId="0" xfId="0" applyFont="1" applyFill="1"/>
    <xf numFmtId="0" fontId="17" fillId="5" borderId="0" xfId="0" applyFont="1" applyFill="1" applyAlignment="1">
      <alignment horizontal="left"/>
    </xf>
    <xf numFmtId="3" fontId="18" fillId="5" borderId="0" xfId="0" applyNumberFormat="1" applyFont="1" applyFill="1" applyAlignment="1">
      <alignment horizontal="right"/>
    </xf>
    <xf numFmtId="0" fontId="19" fillId="5" borderId="0" xfId="0" applyFont="1" applyFill="1" applyAlignment="1">
      <alignment horizontal="left"/>
    </xf>
    <xf numFmtId="0" fontId="17" fillId="5" borderId="0" xfId="0" applyFont="1" applyFill="1"/>
    <xf numFmtId="0" fontId="14" fillId="2" borderId="0" xfId="0" applyFont="1" applyFill="1"/>
    <xf numFmtId="0" fontId="13" fillId="2" borderId="0" xfId="0" applyFont="1" applyFill="1"/>
    <xf numFmtId="0" fontId="14" fillId="3" borderId="0" xfId="0" applyFont="1" applyFill="1"/>
    <xf numFmtId="0" fontId="13" fillId="3" borderId="0" xfId="0" applyFont="1" applyFill="1"/>
    <xf numFmtId="0" fontId="13" fillId="5" borderId="0" xfId="0" applyFont="1" applyFill="1"/>
    <xf numFmtId="0" fontId="16" fillId="5" borderId="0" xfId="0" applyFont="1" applyFill="1"/>
    <xf numFmtId="0" fontId="17" fillId="5" borderId="0" xfId="0" applyFont="1" applyFill="1" applyAlignment="1">
      <alignment horizontal="right"/>
    </xf>
    <xf numFmtId="0" fontId="18" fillId="5" borderId="0" xfId="0" applyFont="1" applyFill="1" applyAlignment="1">
      <alignment horizontal="right"/>
    </xf>
    <xf numFmtId="0" fontId="20" fillId="5" borderId="0" xfId="0" applyFont="1" applyFill="1"/>
    <xf numFmtId="2" fontId="20" fillId="5" borderId="0" xfId="0" applyNumberFormat="1" applyFont="1" applyFill="1"/>
    <xf numFmtId="0" fontId="21" fillId="5" borderId="0" xfId="0" applyFont="1" applyFill="1"/>
    <xf numFmtId="0" fontId="12" fillId="5" borderId="0" xfId="0" applyFont="1" applyFill="1" applyAlignment="1">
      <alignment horizontal="right"/>
    </xf>
    <xf numFmtId="0" fontId="19" fillId="5" borderId="0" xfId="0" applyFont="1" applyFill="1" applyAlignment="1">
      <alignment horizontal="right"/>
    </xf>
    <xf numFmtId="3" fontId="21" fillId="5" borderId="0" xfId="0" applyNumberFormat="1" applyFont="1" applyFill="1"/>
    <xf numFmtId="0" fontId="20" fillId="5" borderId="0" xfId="0" applyFont="1" applyFill="1" applyAlignment="1">
      <alignment horizontal="right"/>
    </xf>
    <xf numFmtId="3" fontId="12" fillId="5" borderId="0" xfId="0" applyNumberFormat="1" applyFont="1" applyFill="1"/>
    <xf numFmtId="2" fontId="12" fillId="5" borderId="0" xfId="0" applyNumberFormat="1" applyFont="1" applyFill="1"/>
    <xf numFmtId="0" fontId="22" fillId="5" borderId="0" xfId="0" applyFont="1" applyFill="1"/>
    <xf numFmtId="0" fontId="22" fillId="5" borderId="0" xfId="0" applyFont="1" applyFill="1" applyBorder="1"/>
    <xf numFmtId="0" fontId="23" fillId="5" borderId="0" xfId="0" applyFont="1" applyFill="1"/>
    <xf numFmtId="3" fontId="22" fillId="5" borderId="0" xfId="0" applyNumberFormat="1" applyFont="1" applyFill="1"/>
    <xf numFmtId="2" fontId="22" fillId="5" borderId="0" xfId="0" applyNumberFormat="1" applyFont="1" applyFill="1"/>
    <xf numFmtId="0" fontId="12" fillId="7" borderId="2" xfId="0" applyFont="1" applyFill="1" applyBorder="1"/>
    <xf numFmtId="0" fontId="13" fillId="0" borderId="0" xfId="0" applyFont="1" applyFill="1"/>
    <xf numFmtId="0" fontId="14" fillId="5" borderId="0" xfId="0" applyFont="1" applyFill="1" applyAlignment="1"/>
    <xf numFmtId="0" fontId="13" fillId="5" borderId="0" xfId="0" applyFont="1" applyFill="1" applyBorder="1"/>
    <xf numFmtId="0" fontId="12" fillId="9" borderId="2" xfId="0" applyFont="1" applyFill="1" applyBorder="1"/>
    <xf numFmtId="0" fontId="15" fillId="5" borderId="4" xfId="0" applyFont="1" applyFill="1" applyBorder="1" applyAlignment="1">
      <alignment vertical="top" wrapText="1"/>
    </xf>
    <xf numFmtId="0" fontId="15" fillId="5" borderId="0" xfId="0" applyFont="1" applyFill="1" applyBorder="1" applyAlignment="1"/>
    <xf numFmtId="0" fontId="15" fillId="5" borderId="0" xfId="0" applyFont="1" applyFill="1" applyAlignment="1"/>
    <xf numFmtId="0" fontId="14" fillId="4" borderId="12" xfId="0" applyFont="1" applyFill="1" applyBorder="1" applyAlignment="1">
      <alignment vertical="top" wrapText="1"/>
    </xf>
    <xf numFmtId="3" fontId="14" fillId="4" borderId="15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top"/>
    </xf>
    <xf numFmtId="0" fontId="12" fillId="5" borderId="0" xfId="0" applyFont="1" applyFill="1" applyAlignment="1">
      <alignment vertical="top"/>
    </xf>
    <xf numFmtId="0" fontId="15" fillId="5" borderId="8" xfId="0" applyFont="1" applyFill="1" applyBorder="1" applyAlignment="1">
      <alignment vertical="top" wrapText="1"/>
    </xf>
    <xf numFmtId="0" fontId="12" fillId="5" borderId="0" xfId="0" applyFont="1" applyFill="1" applyAlignment="1">
      <alignment horizontal="left" vertical="top"/>
    </xf>
    <xf numFmtId="3" fontId="12" fillId="5" borderId="0" xfId="0" applyNumberFormat="1" applyFont="1" applyFill="1" applyAlignment="1">
      <alignment vertical="top"/>
    </xf>
    <xf numFmtId="3" fontId="12" fillId="5" borderId="0" xfId="0" applyNumberFormat="1" applyFont="1" applyFill="1" applyBorder="1" applyAlignment="1">
      <alignment vertical="top"/>
    </xf>
    <xf numFmtId="0" fontId="15" fillId="5" borderId="13" xfId="0" applyFont="1" applyFill="1" applyBorder="1" applyAlignment="1">
      <alignment vertical="top" wrapText="1"/>
    </xf>
    <xf numFmtId="3" fontId="12" fillId="5" borderId="14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vertical="top" wrapText="1"/>
    </xf>
    <xf numFmtId="3" fontId="12" fillId="5" borderId="1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vertical="top"/>
    </xf>
    <xf numFmtId="0" fontId="15" fillId="5" borderId="17" xfId="0" applyFont="1" applyFill="1" applyBorder="1" applyAlignment="1">
      <alignment vertical="top" wrapText="1"/>
    </xf>
    <xf numFmtId="3" fontId="12" fillId="5" borderId="18" xfId="0" applyNumberFormat="1" applyFont="1" applyFill="1" applyBorder="1" applyAlignment="1">
      <alignment horizontal="center" vertical="center"/>
    </xf>
    <xf numFmtId="3" fontId="19" fillId="5" borderId="3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top"/>
    </xf>
    <xf numFmtId="0" fontId="19" fillId="5" borderId="0" xfId="0" applyFont="1" applyFill="1" applyAlignment="1">
      <alignment vertical="top"/>
    </xf>
    <xf numFmtId="0" fontId="24" fillId="5" borderId="0" xfId="0" applyFont="1" applyFill="1" applyAlignment="1">
      <alignment vertical="top"/>
    </xf>
    <xf numFmtId="0" fontId="15" fillId="5" borderId="5" xfId="0" applyFont="1" applyFill="1" applyBorder="1" applyAlignment="1">
      <alignment horizontal="center" vertical="top" wrapText="1"/>
    </xf>
    <xf numFmtId="0" fontId="15" fillId="5" borderId="20" xfId="0" applyFont="1" applyFill="1" applyBorder="1" applyAlignment="1">
      <alignment horizontal="center" vertical="top" wrapText="1"/>
    </xf>
    <xf numFmtId="166" fontId="14" fillId="4" borderId="21" xfId="0" applyNumberFormat="1" applyFont="1" applyFill="1" applyBorder="1" applyAlignment="1">
      <alignment horizontal="center" vertical="center"/>
    </xf>
    <xf numFmtId="166" fontId="12" fillId="5" borderId="23" xfId="0" applyNumberFormat="1" applyFont="1" applyFill="1" applyBorder="1" applyAlignment="1">
      <alignment horizontal="center" vertical="center"/>
    </xf>
    <xf numFmtId="166" fontId="12" fillId="5" borderId="24" xfId="0" applyNumberFormat="1" applyFont="1" applyFill="1" applyBorder="1" applyAlignment="1">
      <alignment horizontal="center" vertical="center"/>
    </xf>
    <xf numFmtId="166" fontId="12" fillId="5" borderId="25" xfId="0" applyNumberFormat="1" applyFont="1" applyFill="1" applyBorder="1" applyAlignment="1">
      <alignment horizontal="center" vertical="center"/>
    </xf>
    <xf numFmtId="166" fontId="19" fillId="5" borderId="22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right" vertical="top" wrapText="1"/>
    </xf>
    <xf numFmtId="0" fontId="12" fillId="5" borderId="13" xfId="0" applyFont="1" applyFill="1" applyBorder="1" applyAlignment="1">
      <alignment horizontal="left" vertical="top" wrapText="1" indent="3"/>
    </xf>
    <xf numFmtId="0" fontId="12" fillId="5" borderId="16" xfId="0" applyFont="1" applyFill="1" applyBorder="1" applyAlignment="1">
      <alignment horizontal="left" vertical="top" wrapText="1" indent="3"/>
    </xf>
    <xf numFmtId="3" fontId="15" fillId="5" borderId="3" xfId="0" applyNumberFormat="1" applyFont="1" applyFill="1" applyBorder="1" applyAlignment="1">
      <alignment horizontal="center" vertical="center"/>
    </xf>
    <xf numFmtId="166" fontId="15" fillId="5" borderId="22" xfId="0" applyNumberFormat="1" applyFont="1" applyFill="1" applyBorder="1" applyAlignment="1">
      <alignment horizontal="center" vertical="center"/>
    </xf>
    <xf numFmtId="3" fontId="15" fillId="5" borderId="14" xfId="0" applyNumberFormat="1" applyFont="1" applyFill="1" applyBorder="1" applyAlignment="1">
      <alignment horizontal="center" vertical="center"/>
    </xf>
    <xf numFmtId="166" fontId="15" fillId="5" borderId="23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vertical="top" wrapText="1"/>
    </xf>
    <xf numFmtId="0" fontId="25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6" fillId="5" borderId="0" xfId="0" applyFont="1" applyFill="1" applyAlignment="1">
      <alignment horizontal="left"/>
    </xf>
    <xf numFmtId="0" fontId="29" fillId="5" borderId="0" xfId="0" applyFont="1" applyFill="1" applyBorder="1"/>
    <xf numFmtId="0" fontId="30" fillId="5" borderId="0" xfId="0" applyFont="1" applyFill="1" applyBorder="1"/>
    <xf numFmtId="0" fontId="29" fillId="5" borderId="0" xfId="0" applyFont="1" applyFill="1" applyBorder="1" applyAlignment="1">
      <alignment horizontal="center" wrapText="1"/>
    </xf>
    <xf numFmtId="0" fontId="28" fillId="5" borderId="0" xfId="0" applyFont="1" applyFill="1" applyBorder="1"/>
    <xf numFmtId="0" fontId="29" fillId="5" borderId="0" xfId="0" applyFont="1" applyFill="1" applyBorder="1" applyAlignment="1">
      <alignment horizontal="right"/>
    </xf>
    <xf numFmtId="3" fontId="30" fillId="5" borderId="0" xfId="0" applyNumberFormat="1" applyFont="1" applyFill="1" applyBorder="1" applyAlignment="1">
      <alignment horizontal="center"/>
    </xf>
    <xf numFmtId="49" fontId="29" fillId="5" borderId="0" xfId="0" applyNumberFormat="1" applyFont="1" applyFill="1" applyBorder="1" applyAlignment="1">
      <alignment horizontal="right"/>
    </xf>
    <xf numFmtId="0" fontId="32" fillId="5" borderId="0" xfId="0" applyFont="1" applyFill="1" applyBorder="1"/>
    <xf numFmtId="1" fontId="30" fillId="5" borderId="0" xfId="0" applyNumberFormat="1" applyFont="1" applyFill="1" applyBorder="1" applyAlignment="1">
      <alignment horizontal="center"/>
    </xf>
    <xf numFmtId="3" fontId="32" fillId="5" borderId="0" xfId="0" applyNumberFormat="1" applyFont="1" applyFill="1" applyBorder="1" applyAlignment="1">
      <alignment horizontal="center"/>
    </xf>
    <xf numFmtId="0" fontId="29" fillId="5" borderId="0" xfId="0" applyFont="1" applyFill="1" applyBorder="1" applyAlignment="1">
      <alignment horizontal="center" vertical="center"/>
    </xf>
    <xf numFmtId="3" fontId="29" fillId="5" borderId="0" xfId="0" applyNumberFormat="1" applyFont="1" applyFill="1" applyBorder="1" applyAlignment="1">
      <alignment horizontal="center"/>
    </xf>
    <xf numFmtId="3" fontId="29" fillId="5" borderId="0" xfId="0" applyNumberFormat="1" applyFont="1" applyFill="1" applyBorder="1" applyAlignment="1">
      <alignment horizontal="right"/>
    </xf>
    <xf numFmtId="0" fontId="33" fillId="5" borderId="0" xfId="0" applyFont="1" applyFill="1" applyBorder="1"/>
    <xf numFmtId="0" fontId="30" fillId="5" borderId="0" xfId="0" applyFont="1" applyFill="1" applyBorder="1" applyAlignment="1">
      <alignment horizontal="right"/>
    </xf>
    <xf numFmtId="2" fontId="29" fillId="5" borderId="0" xfId="0" applyNumberFormat="1" applyFont="1" applyFill="1" applyBorder="1"/>
    <xf numFmtId="0" fontId="29" fillId="5" borderId="0" xfId="0" applyFont="1" applyFill="1" applyBorder="1" applyAlignment="1"/>
    <xf numFmtId="3" fontId="29" fillId="5" borderId="0" xfId="0" applyNumberFormat="1" applyFont="1" applyFill="1" applyBorder="1"/>
    <xf numFmtId="3" fontId="30" fillId="5" borderId="0" xfId="0" applyNumberFormat="1" applyFont="1" applyFill="1" applyBorder="1" applyAlignment="1">
      <alignment horizontal="right"/>
    </xf>
    <xf numFmtId="4" fontId="29" fillId="5" borderId="0" xfId="0" applyNumberFormat="1" applyFont="1" applyFill="1" applyBorder="1" applyAlignment="1">
      <alignment horizontal="right"/>
    </xf>
    <xf numFmtId="0" fontId="30" fillId="5" borderId="0" xfId="0" applyFont="1" applyFill="1" applyBorder="1" applyAlignment="1"/>
    <xf numFmtId="4" fontId="29" fillId="5" borderId="0" xfId="0" applyNumberFormat="1" applyFont="1" applyFill="1" applyBorder="1"/>
    <xf numFmtId="164" fontId="29" fillId="5" borderId="0" xfId="0" applyNumberFormat="1" applyFont="1" applyFill="1" applyBorder="1"/>
    <xf numFmtId="0" fontId="30" fillId="5" borderId="0" xfId="0" applyFont="1" applyFill="1" applyBorder="1" applyAlignment="1">
      <alignment vertical="top" wrapText="1"/>
    </xf>
    <xf numFmtId="0" fontId="36" fillId="5" borderId="0" xfId="0" applyFont="1" applyFill="1" applyBorder="1" applyAlignment="1">
      <alignment vertical="top" wrapText="1"/>
    </xf>
    <xf numFmtId="0" fontId="37" fillId="5" borderId="0" xfId="0" applyFont="1" applyFill="1" applyBorder="1" applyAlignment="1">
      <alignment vertical="top" wrapText="1"/>
    </xf>
    <xf numFmtId="0" fontId="29" fillId="5" borderId="0" xfId="0" applyFont="1" applyFill="1" applyBorder="1" applyAlignment="1">
      <alignment wrapText="1"/>
    </xf>
    <xf numFmtId="2" fontId="29" fillId="5" borderId="0" xfId="0" applyNumberFormat="1" applyFont="1" applyFill="1" applyBorder="1" applyAlignment="1">
      <alignment horizontal="right"/>
    </xf>
    <xf numFmtId="0" fontId="38" fillId="5" borderId="0" xfId="0" applyFont="1" applyFill="1" applyBorder="1" applyAlignment="1">
      <alignment vertical="top" wrapText="1"/>
    </xf>
    <xf numFmtId="0" fontId="30" fillId="5" borderId="0" xfId="0" applyFont="1" applyFill="1" applyBorder="1" applyAlignment="1">
      <alignment wrapText="1"/>
    </xf>
    <xf numFmtId="166" fontId="29" fillId="5" borderId="0" xfId="0" applyNumberFormat="1" applyFont="1" applyFill="1" applyBorder="1" applyAlignment="1">
      <alignment horizontal="center"/>
    </xf>
    <xf numFmtId="165" fontId="29" fillId="5" borderId="0" xfId="0" applyNumberFormat="1" applyFont="1" applyFill="1" applyBorder="1"/>
    <xf numFmtId="165" fontId="29" fillId="5" borderId="0" xfId="0" applyNumberFormat="1" applyFont="1" applyFill="1" applyBorder="1" applyAlignment="1">
      <alignment horizontal="right"/>
    </xf>
    <xf numFmtId="2" fontId="29" fillId="5" borderId="0" xfId="0" applyNumberFormat="1" applyFont="1" applyFill="1" applyBorder="1" applyAlignment="1">
      <alignment horizontal="center"/>
    </xf>
    <xf numFmtId="1" fontId="29" fillId="5" borderId="0" xfId="0" applyNumberFormat="1" applyFont="1" applyFill="1" applyBorder="1" applyAlignment="1">
      <alignment horizontal="center"/>
    </xf>
    <xf numFmtId="0" fontId="29" fillId="5" borderId="0" xfId="0" applyFont="1" applyFill="1"/>
    <xf numFmtId="0" fontId="29" fillId="5" borderId="0" xfId="0" applyFont="1" applyFill="1" applyAlignment="1"/>
    <xf numFmtId="0" fontId="40" fillId="5" borderId="0" xfId="0" applyFont="1" applyFill="1"/>
    <xf numFmtId="0" fontId="29" fillId="5" borderId="19" xfId="0" applyFont="1" applyFill="1" applyBorder="1"/>
    <xf numFmtId="0" fontId="30" fillId="5" borderId="0" xfId="0" applyFont="1" applyFill="1"/>
    <xf numFmtId="0" fontId="12" fillId="7" borderId="2" xfId="0" applyFont="1" applyFill="1" applyBorder="1" applyProtection="1">
      <protection locked="0"/>
    </xf>
    <xf numFmtId="3" fontId="17" fillId="7" borderId="2" xfId="0" applyNumberFormat="1" applyFont="1" applyFill="1" applyBorder="1" applyAlignment="1" applyProtection="1">
      <alignment horizontal="right"/>
      <protection locked="0"/>
    </xf>
    <xf numFmtId="0" fontId="12" fillId="9" borderId="2" xfId="0" applyFont="1" applyFill="1" applyBorder="1" applyProtection="1">
      <protection locked="0"/>
    </xf>
    <xf numFmtId="3" fontId="17" fillId="8" borderId="2" xfId="0" applyNumberFormat="1" applyFont="1" applyFill="1" applyBorder="1" applyProtection="1">
      <protection locked="0"/>
    </xf>
    <xf numFmtId="0" fontId="17" fillId="7" borderId="2" xfId="0" applyFont="1" applyFill="1" applyBorder="1" applyAlignment="1" applyProtection="1">
      <alignment horizontal="right"/>
      <protection locked="0"/>
    </xf>
    <xf numFmtId="0" fontId="12" fillId="7" borderId="2" xfId="0" applyFont="1" applyFill="1" applyBorder="1" applyAlignment="1" applyProtection="1">
      <alignment horizontal="right"/>
      <protection locked="0"/>
    </xf>
    <xf numFmtId="3" fontId="12" fillId="7" borderId="2" xfId="0" applyNumberFormat="1" applyFont="1" applyFill="1" applyBorder="1" applyProtection="1">
      <protection locked="0"/>
    </xf>
    <xf numFmtId="3" fontId="12" fillId="8" borderId="2" xfId="0" applyNumberFormat="1" applyFont="1" applyFill="1" applyBorder="1" applyProtection="1">
      <protection locked="0"/>
    </xf>
    <xf numFmtId="0" fontId="30" fillId="5" borderId="0" xfId="0" applyFont="1" applyFill="1" applyBorder="1" applyAlignment="1">
      <alignment horizontal="center"/>
    </xf>
    <xf numFmtId="0" fontId="29" fillId="5" borderId="0" xfId="0" applyFont="1" applyFill="1" applyBorder="1" applyAlignment="1">
      <alignment horizontal="center"/>
    </xf>
    <xf numFmtId="0" fontId="0" fillId="10" borderId="0" xfId="0" applyFill="1"/>
    <xf numFmtId="0" fontId="16" fillId="10" borderId="0" xfId="0" applyFont="1" applyFill="1" applyAlignment="1"/>
    <xf numFmtId="0" fontId="0" fillId="11" borderId="0" xfId="0" applyFill="1"/>
    <xf numFmtId="0" fontId="16" fillId="11" borderId="0" xfId="0" applyFont="1" applyFill="1" applyAlignment="1"/>
    <xf numFmtId="0" fontId="0" fillId="12" borderId="0" xfId="0" applyFill="1"/>
    <xf numFmtId="0" fontId="16" fillId="12" borderId="0" xfId="0" applyFont="1" applyFill="1" applyAlignment="1"/>
    <xf numFmtId="0" fontId="41" fillId="13" borderId="0" xfId="0" applyFont="1" applyFill="1"/>
    <xf numFmtId="0" fontId="14" fillId="13" borderId="0" xfId="0" applyFont="1" applyFill="1" applyAlignment="1"/>
    <xf numFmtId="0" fontId="32" fillId="5" borderId="0" xfId="0" applyFont="1" applyFill="1" applyBorder="1" applyAlignment="1">
      <alignment horizontal="center"/>
    </xf>
    <xf numFmtId="0" fontId="30" fillId="5" borderId="0" xfId="0" applyFont="1" applyFill="1" applyAlignment="1">
      <alignment horizontal="left" wrapText="1"/>
    </xf>
    <xf numFmtId="0" fontId="9" fillId="5" borderId="9" xfId="0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0" fontId="25" fillId="6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0" fontId="29" fillId="5" borderId="0" xfId="0" applyFont="1" applyFill="1" applyBorder="1" applyAlignment="1">
      <alignment horizontal="center"/>
    </xf>
    <xf numFmtId="0" fontId="30" fillId="5" borderId="0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30" fillId="5" borderId="0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1000E6"/>
      <color rgb="FF5E43FF"/>
      <color rgb="FF6666FF"/>
      <color rgb="FFBEAFFF"/>
      <color rgb="FFFFD653"/>
      <color rgb="FF3399FF"/>
      <color rgb="FF993366"/>
      <color rgb="FF800080"/>
      <color rgb="FF8F07B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 b="1" u="sng"/>
              <a:t>Ergebnisse der Ökobilanz über den Betrachtungszeitraum (Gebäudenutzungsdauer)  von 50 Jahren</a:t>
            </a:r>
          </a:p>
          <a:p>
            <a:pPr>
              <a:defRPr sz="1000"/>
            </a:pPr>
            <a:r>
              <a:rPr lang="de-DE" sz="1000" b="1"/>
              <a:t>GEBÄUDELEBENSYZKLUS</a:t>
            </a:r>
          </a:p>
          <a:p>
            <a:pPr>
              <a:defRPr sz="1000"/>
            </a:pPr>
            <a:endParaRPr lang="de-DE" sz="1000" b="1"/>
          </a:p>
          <a:p>
            <a:pPr>
              <a:defRPr sz="1000"/>
            </a:pPr>
            <a:r>
              <a:rPr lang="de-DE" sz="1000"/>
              <a:t>Beitrag zum Klimawandel (GWP) in kg CO</a:t>
            </a:r>
            <a:r>
              <a:rPr lang="de-DE" sz="1000" baseline="-25000"/>
              <a:t>2</a:t>
            </a:r>
            <a:r>
              <a:rPr lang="de-DE" sz="1000"/>
              <a:t>-Äquiv./(m²</a:t>
            </a:r>
            <a:r>
              <a:rPr lang="de-DE" sz="1000" baseline="-25000"/>
              <a:t>NRF</a:t>
            </a:r>
            <a:r>
              <a:rPr lang="de-DE" sz="1000"/>
              <a:t>*a)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8668944887573302E-2"/>
          <c:y val="0.22011932324249028"/>
          <c:w val="0.91973569004551392"/>
          <c:h val="0.442510215905269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Hintergrund!$B$61</c:f>
              <c:strCache>
                <c:ptCount val="1"/>
                <c:pt idx="0">
                  <c:v>Lebenszyklus
(inkl.  pot. Gutschrift aus PV)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Hintergrund!$A$62:$A$64</c:f>
              <c:strCache>
                <c:ptCount val="3"/>
                <c:pt idx="0">
                  <c:v>Gebäude:
Lebenszyklus, gesamt</c:v>
                </c:pt>
                <c:pt idx="1">
                  <c:v>Gebäude:
Details</c:v>
                </c:pt>
                <c:pt idx="2">
                  <c:v>Gebäude:
Lebenszyklusmodule</c:v>
                </c:pt>
              </c:strCache>
            </c:strRef>
          </c:cat>
          <c:val>
            <c:numRef>
              <c:f>Hintergrund!$B$62:$B$64</c:f>
              <c:numCache>
                <c:formatCode>0.00</c:formatCode>
                <c:ptCount val="3"/>
                <c:pt idx="0">
                  <c:v>11.016994578586687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0-43FB-B3ED-EC5058554B80}"/>
            </c:ext>
          </c:extLst>
        </c:ser>
        <c:ser>
          <c:idx val="1"/>
          <c:order val="1"/>
          <c:tx>
            <c:strRef>
              <c:f>Hintergrund!$C$61</c:f>
              <c:strCache>
                <c:ptCount val="1"/>
                <c:pt idx="0">
                  <c:v>Gebäudebetrieb (B6);
inkl. pot. Gutschrift aus PV</c:v>
                </c:pt>
              </c:strCache>
            </c:strRef>
          </c:tx>
          <c:spPr>
            <a:solidFill>
              <a:srgbClr val="7030A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Hintergrund!$A$62:$A$64</c:f>
              <c:strCache>
                <c:ptCount val="3"/>
                <c:pt idx="0">
                  <c:v>Gebäude:
Lebenszyklus, gesamt</c:v>
                </c:pt>
                <c:pt idx="1">
                  <c:v>Gebäude:
Details</c:v>
                </c:pt>
                <c:pt idx="2">
                  <c:v>Gebäude:
Lebenszyklusmodule</c:v>
                </c:pt>
              </c:strCache>
            </c:strRef>
          </c:cat>
          <c:val>
            <c:numRef>
              <c:f>Hintergrund!$C$62:$C$64</c:f>
              <c:numCache>
                <c:formatCode>0.00</c:formatCode>
                <c:ptCount val="3"/>
                <c:pt idx="1">
                  <c:v>4.3452721666666667</c:v>
                </c:pt>
                <c:pt idx="2">
                  <c:v>4.3452721666666667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F0-43FB-B3ED-EC5058554B80}"/>
            </c:ext>
          </c:extLst>
        </c:ser>
        <c:ser>
          <c:idx val="2"/>
          <c:order val="2"/>
          <c:tx>
            <c:strRef>
              <c:f>Hintergrund!$D$61</c:f>
              <c:strCache>
                <c:ptCount val="1"/>
                <c:pt idx="0">
                  <c:v>Gebäudekonstruktion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Hintergrund!$A$62:$A$64</c:f>
              <c:strCache>
                <c:ptCount val="3"/>
                <c:pt idx="0">
                  <c:v>Gebäude:
Lebenszyklus, gesamt</c:v>
                </c:pt>
                <c:pt idx="1">
                  <c:v>Gebäude:
Details</c:v>
                </c:pt>
                <c:pt idx="2">
                  <c:v>Gebäude:
Lebenszyklusmodule</c:v>
                </c:pt>
              </c:strCache>
            </c:strRef>
          </c:cat>
          <c:val>
            <c:numRef>
              <c:f>Hintergrund!$D$62:$D$64</c:f>
              <c:numCache>
                <c:formatCode>0.00</c:formatCode>
                <c:ptCount val="3"/>
                <c:pt idx="1">
                  <c:v>6.6717224119200189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F0-43FB-B3ED-EC5058554B80}"/>
            </c:ext>
          </c:extLst>
        </c:ser>
        <c:ser>
          <c:idx val="3"/>
          <c:order val="3"/>
          <c:tx>
            <c:strRef>
              <c:f>Hintergrund!$E$61</c:f>
              <c:strCache>
                <c:ptCount val="1"/>
                <c:pt idx="0">
                  <c:v>Herstellung (A1-A3)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Hintergrund!$A$62:$A$64</c:f>
              <c:strCache>
                <c:ptCount val="3"/>
                <c:pt idx="0">
                  <c:v>Gebäude:
Lebenszyklus, gesamt</c:v>
                </c:pt>
                <c:pt idx="1">
                  <c:v>Gebäude:
Details</c:v>
                </c:pt>
                <c:pt idx="2">
                  <c:v>Gebäude:
Lebenszyklusmodule</c:v>
                </c:pt>
              </c:strCache>
            </c:strRef>
          </c:cat>
          <c:val>
            <c:numRef>
              <c:f>Hintergrund!$E$62:$E$64</c:f>
              <c:numCache>
                <c:formatCode>0.00</c:formatCode>
                <c:ptCount val="3"/>
                <c:pt idx="2">
                  <c:v>5.1168110974237146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F0-43FB-B3ED-EC5058554B80}"/>
            </c:ext>
          </c:extLst>
        </c:ser>
        <c:ser>
          <c:idx val="4"/>
          <c:order val="4"/>
          <c:tx>
            <c:strRef>
              <c:f>Hintergrund!$F$61</c:f>
              <c:strCache>
                <c:ptCount val="1"/>
                <c:pt idx="0">
                  <c:v>Ersatz/Austausch (B4)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Hintergrund!$A$62:$A$64</c:f>
              <c:strCache>
                <c:ptCount val="3"/>
                <c:pt idx="0">
                  <c:v>Gebäude:
Lebenszyklus, gesamt</c:v>
                </c:pt>
                <c:pt idx="1">
                  <c:v>Gebäude:
Details</c:v>
                </c:pt>
                <c:pt idx="2">
                  <c:v>Gebäude:
Lebenszyklusmodule</c:v>
                </c:pt>
              </c:strCache>
            </c:strRef>
          </c:cat>
          <c:val>
            <c:numRef>
              <c:f>Hintergrund!$F$62:$F$64</c:f>
              <c:numCache>
                <c:formatCode>0.00</c:formatCode>
                <c:ptCount val="3"/>
                <c:pt idx="2">
                  <c:v>1.2173243250652255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F0-43FB-B3ED-EC5058554B80}"/>
            </c:ext>
          </c:extLst>
        </c:ser>
        <c:ser>
          <c:idx val="5"/>
          <c:order val="5"/>
          <c:tx>
            <c:strRef>
              <c:f>Hintergrund!$G$61</c:f>
              <c:strCache>
                <c:ptCount val="1"/>
                <c:pt idx="0">
                  <c:v>Lebensende (C3, C4)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Hintergrund!$A$62:$A$64</c:f>
              <c:strCache>
                <c:ptCount val="3"/>
                <c:pt idx="0">
                  <c:v>Gebäude:
Lebenszyklus, gesamt</c:v>
                </c:pt>
                <c:pt idx="1">
                  <c:v>Gebäude:
Details</c:v>
                </c:pt>
                <c:pt idx="2">
                  <c:v>Gebäude:
Lebenszyklusmodule</c:v>
                </c:pt>
              </c:strCache>
            </c:strRef>
          </c:cat>
          <c:val>
            <c:numRef>
              <c:f>Hintergrund!$G$62:$G$64</c:f>
              <c:numCache>
                <c:formatCode>0.00</c:formatCode>
                <c:ptCount val="3"/>
                <c:pt idx="2">
                  <c:v>1.7769123244286196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F0-43FB-B3ED-EC5058554B80}"/>
            </c:ext>
          </c:extLst>
        </c:ser>
        <c:ser>
          <c:idx val="6"/>
          <c:order val="6"/>
          <c:tx>
            <c:strRef>
              <c:f>Hintergrund!$H$61</c:f>
              <c:strCache>
                <c:ptCount val="1"/>
                <c:pt idx="0">
                  <c:v>Gutschriften (D)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Hintergrund!$A$62:$A$64</c:f>
              <c:strCache>
                <c:ptCount val="3"/>
                <c:pt idx="0">
                  <c:v>Gebäude:
Lebenszyklus, gesamt</c:v>
                </c:pt>
                <c:pt idx="1">
                  <c:v>Gebäude:
Details</c:v>
                </c:pt>
                <c:pt idx="2">
                  <c:v>Gebäude:
Lebenszyklusmodule</c:v>
                </c:pt>
              </c:strCache>
            </c:strRef>
          </c:cat>
          <c:val>
            <c:numRef>
              <c:f>Hintergrund!$H$62:$H$64</c:f>
              <c:numCache>
                <c:formatCode>0.00</c:formatCode>
                <c:ptCount val="3"/>
                <c:pt idx="2">
                  <c:v>-1.4393253349975408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F0-43FB-B3ED-EC5058554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97737856"/>
        <c:axId val="797743104"/>
      </c:barChart>
      <c:catAx>
        <c:axId val="7977378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7743104"/>
        <c:crosses val="autoZero"/>
        <c:auto val="1"/>
        <c:lblAlgn val="ctr"/>
        <c:lblOffset val="100"/>
        <c:noMultiLvlLbl val="0"/>
      </c:catAx>
      <c:valAx>
        <c:axId val="79774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773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049982230679166E-2"/>
          <c:y val="0.7827986274693346"/>
          <c:w val="0.85172324247912179"/>
          <c:h val="0.205788703744897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50" b="1" i="0" u="sng" baseline="0">
                <a:effectLst/>
              </a:rPr>
              <a:t>Ergebnisse der Ökobilanz über den Betrachtungszeitraum (Gebäudenutzungsdauer)  von 50 Jahren</a:t>
            </a:r>
            <a:endParaRPr lang="de-DE" sz="1050" u="sng">
              <a:effectLst/>
            </a:endParaRPr>
          </a:p>
          <a:p>
            <a:pPr>
              <a:defRPr sz="1050"/>
            </a:pPr>
            <a:r>
              <a:rPr lang="de-DE" sz="1050" b="1" i="0" baseline="0">
                <a:effectLst/>
              </a:rPr>
              <a:t>GEBÄUDEBETRIEB</a:t>
            </a:r>
          </a:p>
          <a:p>
            <a:pPr>
              <a:defRPr sz="1050"/>
            </a:pPr>
            <a:endParaRPr lang="de-DE" sz="1050" b="0" i="0" baseline="0">
              <a:effectLst/>
            </a:endParaRPr>
          </a:p>
          <a:p>
            <a:pPr>
              <a:defRPr sz="1050"/>
            </a:pPr>
            <a:r>
              <a:rPr lang="de-DE" sz="1050" b="0" i="0" baseline="0">
                <a:effectLst/>
              </a:rPr>
              <a:t>Beitrag zum Klimawandel (GWP) in kg  CO</a:t>
            </a:r>
            <a:r>
              <a:rPr lang="de-DE" sz="1050" b="0" i="0" baseline="-25000">
                <a:effectLst/>
              </a:rPr>
              <a:t>2</a:t>
            </a:r>
            <a:r>
              <a:rPr lang="de-DE" sz="1050" b="0" i="0" baseline="0">
                <a:effectLst/>
              </a:rPr>
              <a:t>-Äquiv./ (m²</a:t>
            </a:r>
            <a:r>
              <a:rPr lang="de-DE" sz="1050" b="0" i="0" baseline="-25000">
                <a:effectLst/>
              </a:rPr>
              <a:t>NRF</a:t>
            </a:r>
            <a:r>
              <a:rPr lang="de-DE" sz="1050" b="0" i="0" baseline="0">
                <a:effectLst/>
              </a:rPr>
              <a:t> * a)</a:t>
            </a:r>
            <a:endParaRPr lang="de-DE" sz="1050">
              <a:effectLst/>
            </a:endParaRPr>
          </a:p>
          <a:p>
            <a:pPr>
              <a:defRPr sz="1050"/>
            </a:pPr>
            <a:endParaRPr lang="de-DE" sz="1050"/>
          </a:p>
        </c:rich>
      </c:tx>
      <c:layout>
        <c:manualLayout>
          <c:xMode val="edge"/>
          <c:yMode val="edge"/>
          <c:x val="0.13369139291452684"/>
          <c:y val="1.9621801247838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1406514434854647E-2"/>
          <c:y val="0.28217594148597791"/>
          <c:w val="0.86568537492819941"/>
          <c:h val="0.4694658198967548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Hintergrund!$Z$80</c:f>
              <c:strCache>
                <c:ptCount val="1"/>
                <c:pt idx="0">
                  <c:v>Gebäudebetrieb (B6)
inkl. pot. Gutschrift aus PV</c:v>
                </c:pt>
              </c:strCache>
            </c:strRef>
          </c:tx>
          <c:spPr>
            <a:solidFill>
              <a:srgbClr val="7030A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Hintergrund!$X$81:$X$82</c:f>
              <c:strCache>
                <c:ptCount val="2"/>
                <c:pt idx="0">
                  <c:v>Gebäudebetrieb:
Gesamt</c:v>
                </c:pt>
                <c:pt idx="1">
                  <c:v>Gebäudebetrieb:
Details</c:v>
                </c:pt>
              </c:strCache>
            </c:strRef>
          </c:cat>
          <c:val>
            <c:numRef>
              <c:f>Hintergrund!$Z$81:$Z$82</c:f>
              <c:numCache>
                <c:formatCode>General</c:formatCode>
                <c:ptCount val="2"/>
                <c:pt idx="0" formatCode="0.00">
                  <c:v>4.3452721666666667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C-4D0D-8A45-63110D73E39E}"/>
            </c:ext>
          </c:extLst>
        </c:ser>
        <c:ser>
          <c:idx val="2"/>
          <c:order val="1"/>
          <c:tx>
            <c:strRef>
              <c:f>Hintergrund!$AA$80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5E43F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Hintergrund!$X$81:$X$82</c:f>
              <c:strCache>
                <c:ptCount val="2"/>
                <c:pt idx="0">
                  <c:v>Gebäudebetrieb:
Gesamt</c:v>
                </c:pt>
                <c:pt idx="1">
                  <c:v>Gebäudebetrieb:
Details</c:v>
                </c:pt>
              </c:strCache>
            </c:strRef>
          </c:cat>
          <c:val>
            <c:numRef>
              <c:f>Hintergrund!$AA$81:$AA$82</c:f>
              <c:numCache>
                <c:formatCode>0.00</c:formatCode>
                <c:ptCount val="2"/>
                <c:pt idx="1">
                  <c:v>1.158703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2C-4D0D-8A45-63110D73E39E}"/>
            </c:ext>
          </c:extLst>
        </c:ser>
        <c:ser>
          <c:idx val="3"/>
          <c:order val="2"/>
          <c:tx>
            <c:strRef>
              <c:f>Hintergrund!$AB$80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rgbClr val="BEAF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Hintergrund!$X$81:$X$82</c:f>
              <c:strCache>
                <c:ptCount val="2"/>
                <c:pt idx="0">
                  <c:v>Gebäudebetrieb:
Gesamt</c:v>
                </c:pt>
                <c:pt idx="1">
                  <c:v>Gebäudebetrieb:
Details</c:v>
                </c:pt>
              </c:strCache>
            </c:strRef>
          </c:cat>
          <c:val>
            <c:numRef>
              <c:f>Hintergrund!$AB$81:$AB$82</c:f>
              <c:numCache>
                <c:formatCode>0.00</c:formatCode>
                <c:ptCount val="2"/>
                <c:pt idx="1">
                  <c:v>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2C-4D0D-8A45-63110D73E39E}"/>
            </c:ext>
          </c:extLst>
        </c:ser>
        <c:ser>
          <c:idx val="4"/>
          <c:order val="3"/>
          <c:tx>
            <c:strRef>
              <c:f>Hintergrund!$AC$80</c:f>
              <c:strCache>
                <c:ptCount val="1"/>
                <c:pt idx="0">
                  <c:v>pot. Gutschrift aus PV</c:v>
                </c:pt>
              </c:strCache>
            </c:strRef>
          </c:tx>
          <c:spPr>
            <a:solidFill>
              <a:srgbClr val="3399F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Hintergrund!$X$81:$X$82</c:f>
              <c:strCache>
                <c:ptCount val="2"/>
                <c:pt idx="0">
                  <c:v>Gebäudebetrieb:
Gesamt</c:v>
                </c:pt>
                <c:pt idx="1">
                  <c:v>Gebäudebetrieb:
Details</c:v>
                </c:pt>
              </c:strCache>
            </c:strRef>
          </c:cat>
          <c:val>
            <c:numRef>
              <c:f>Hintergrund!$AC$81:$AC$82</c:f>
              <c:numCache>
                <c:formatCode>0.00</c:formatCode>
                <c:ptCount val="2"/>
                <c:pt idx="1">
                  <c:v>-0.80343083333333321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2C-4D0D-8A45-63110D73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435368"/>
        <c:axId val="557434056"/>
      </c:barChart>
      <c:catAx>
        <c:axId val="5574353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434056"/>
        <c:crosses val="autoZero"/>
        <c:auto val="1"/>
        <c:lblAlgn val="ctr"/>
        <c:lblOffset val="100"/>
        <c:noMultiLvlLbl val="0"/>
      </c:catAx>
      <c:valAx>
        <c:axId val="55743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435368"/>
        <c:crosses val="autoZero"/>
        <c:crossBetween val="between"/>
        <c:majorUnit val="2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73154246809095E-2"/>
          <c:y val="0.84890997370648891"/>
          <c:w val="0.87372851762658854"/>
          <c:h val="0.1220341864355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 b="1" i="0" u="sng" baseline="0">
                <a:effectLst/>
              </a:rPr>
              <a:t>Ergebnisse der Ökobilanz über den Betrachtungszeitraum (Gebäudenutzungsdauer) von 50 Jahren</a:t>
            </a:r>
            <a:endParaRPr lang="de-DE" sz="1000">
              <a:effectLst/>
            </a:endParaRPr>
          </a:p>
          <a:p>
            <a:pPr>
              <a:defRPr sz="1000"/>
            </a:pPr>
            <a:r>
              <a:rPr lang="de-DE" sz="1000" b="1" i="0" baseline="0">
                <a:effectLst/>
              </a:rPr>
              <a:t>GEBÄUDEKONSTRUKTION</a:t>
            </a:r>
          </a:p>
          <a:p>
            <a:pPr>
              <a:defRPr sz="1000"/>
            </a:pPr>
            <a:endParaRPr lang="de-DE" sz="1000" b="0" i="0" baseline="0">
              <a:effectLst/>
            </a:endParaRPr>
          </a:p>
          <a:p>
            <a:pPr>
              <a:defRPr sz="1000"/>
            </a:pPr>
            <a:r>
              <a:rPr lang="de-DE" sz="1000" b="0" i="0" baseline="0">
                <a:effectLst/>
              </a:rPr>
              <a:t>Beitrag zum Klimawandel (GWP) in kg CO</a:t>
            </a:r>
            <a:r>
              <a:rPr lang="de-DE" sz="1000" b="0" i="0" baseline="-25000">
                <a:effectLst/>
              </a:rPr>
              <a:t>2</a:t>
            </a:r>
            <a:r>
              <a:rPr lang="de-DE" sz="1000" b="0" i="0" baseline="0">
                <a:effectLst/>
              </a:rPr>
              <a:t>-Äquiv./(m²</a:t>
            </a:r>
            <a:r>
              <a:rPr lang="de-DE" sz="1000" b="0" i="0" baseline="-25000">
                <a:effectLst/>
              </a:rPr>
              <a:t>NRF</a:t>
            </a:r>
            <a:r>
              <a:rPr lang="de-DE" sz="1000" b="0" i="0" baseline="0">
                <a:effectLst/>
              </a:rPr>
              <a:t>*a) </a:t>
            </a:r>
            <a:endParaRPr lang="de-DE" sz="1000">
              <a:effectLst/>
            </a:endParaRPr>
          </a:p>
        </c:rich>
      </c:tx>
      <c:layout>
        <c:manualLayout>
          <c:xMode val="edge"/>
          <c:yMode val="edge"/>
          <c:x val="0.1054415703419955"/>
          <c:y val="1.283376648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218847170170857E-2"/>
          <c:y val="0.18473761173670714"/>
          <c:w val="0.88048084275513339"/>
          <c:h val="0.480351909669100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Hintergrund!$J$80</c:f>
              <c:strCache>
                <c:ptCount val="1"/>
                <c:pt idx="0">
                  <c:v>Gebäudekonstruktion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Hintergrund!$I$81:$I$82</c:f>
              <c:strCache>
                <c:ptCount val="2"/>
                <c:pt idx="0">
                  <c:v>Gebäudekonstruktion:
Gesamt</c:v>
                </c:pt>
                <c:pt idx="1">
                  <c:v>Gebäudekonstruktion:
Details</c:v>
                </c:pt>
              </c:strCache>
            </c:strRef>
          </c:cat>
          <c:val>
            <c:numRef>
              <c:f>Hintergrund!$J$81:$J$82</c:f>
              <c:numCache>
                <c:formatCode>General</c:formatCode>
                <c:ptCount val="2"/>
                <c:pt idx="0" formatCode="0.00">
                  <c:v>6.6717224119200189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D-4B27-9F90-36075C27B909}"/>
            </c:ext>
          </c:extLst>
        </c:ser>
        <c:ser>
          <c:idx val="1"/>
          <c:order val="1"/>
          <c:tx>
            <c:strRef>
              <c:f>Hintergrund!$K$80</c:f>
              <c:strCache>
                <c:ptCount val="1"/>
                <c:pt idx="0">
                  <c:v>Gründung / Fundamente (KG320)</c:v>
                </c:pt>
              </c:strCache>
            </c:strRef>
          </c:tx>
          <c:spPr>
            <a:pattFill prst="wd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Hintergrund!$I$81:$I$82</c:f>
              <c:strCache>
                <c:ptCount val="2"/>
                <c:pt idx="0">
                  <c:v>Gebäudekonstruktion:
Gesamt</c:v>
                </c:pt>
                <c:pt idx="1">
                  <c:v>Gebäudekonstruktion:
Details</c:v>
                </c:pt>
              </c:strCache>
            </c:strRef>
          </c:cat>
          <c:val>
            <c:numRef>
              <c:f>Hintergrund!$K$81:$K$82</c:f>
              <c:numCache>
                <c:formatCode>0.00</c:formatCode>
                <c:ptCount val="2"/>
                <c:pt idx="1">
                  <c:v>0.82467057631484353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3D-4B27-9F90-36075C27B909}"/>
            </c:ext>
          </c:extLst>
        </c:ser>
        <c:ser>
          <c:idx val="2"/>
          <c:order val="2"/>
          <c:tx>
            <c:strRef>
              <c:f>Hintergrund!$L$80</c:f>
              <c:strCache>
                <c:ptCount val="1"/>
                <c:pt idx="0">
                  <c:v>Außenwände / -fenster / -türen (KG330)</c:v>
                </c:pt>
              </c:strCache>
            </c:strRef>
          </c:tx>
          <c:spPr>
            <a:pattFill prst="pct5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Hintergrund!$I$81:$I$82</c:f>
              <c:strCache>
                <c:ptCount val="2"/>
                <c:pt idx="0">
                  <c:v>Gebäudekonstruktion:
Gesamt</c:v>
                </c:pt>
                <c:pt idx="1">
                  <c:v>Gebäudekonstruktion:
Details</c:v>
                </c:pt>
              </c:strCache>
            </c:strRef>
          </c:cat>
          <c:val>
            <c:numRef>
              <c:f>Hintergrund!$L$81:$L$82</c:f>
              <c:numCache>
                <c:formatCode>0.00</c:formatCode>
                <c:ptCount val="2"/>
                <c:pt idx="1">
                  <c:v>1.7456213184532696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3D-4B27-9F90-36075C27B909}"/>
            </c:ext>
          </c:extLst>
        </c:ser>
        <c:ser>
          <c:idx val="3"/>
          <c:order val="3"/>
          <c:tx>
            <c:strRef>
              <c:f>Hintergrund!$M$80</c:f>
              <c:strCache>
                <c:ptCount val="1"/>
                <c:pt idx="0">
                  <c:v>Innenwände / -türen (KG340)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Hintergrund!$I$81:$I$82</c:f>
              <c:strCache>
                <c:ptCount val="2"/>
                <c:pt idx="0">
                  <c:v>Gebäudekonstruktion:
Gesamt</c:v>
                </c:pt>
                <c:pt idx="1">
                  <c:v>Gebäudekonstruktion:
Details</c:v>
                </c:pt>
              </c:strCache>
            </c:strRef>
          </c:cat>
          <c:val>
            <c:numRef>
              <c:f>Hintergrund!$M$81:$M$82</c:f>
              <c:numCache>
                <c:formatCode>0.00</c:formatCode>
                <c:ptCount val="2"/>
                <c:pt idx="1">
                  <c:v>0.83893639676288345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3D-4B27-9F90-36075C27B909}"/>
            </c:ext>
          </c:extLst>
        </c:ser>
        <c:ser>
          <c:idx val="4"/>
          <c:order val="4"/>
          <c:tx>
            <c:strRef>
              <c:f>Hintergrund!$N$80</c:f>
              <c:strCache>
                <c:ptCount val="1"/>
                <c:pt idx="0">
                  <c:v>Geschossdecken / Böden (KG350)</c:v>
                </c:pt>
              </c:strCache>
            </c:strRef>
          </c:tx>
          <c:spPr>
            <a:pattFill prst="trellis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Hintergrund!$I$81:$I$82</c:f>
              <c:strCache>
                <c:ptCount val="2"/>
                <c:pt idx="0">
                  <c:v>Gebäudekonstruktion:
Gesamt</c:v>
                </c:pt>
                <c:pt idx="1">
                  <c:v>Gebäudekonstruktion:
Details</c:v>
                </c:pt>
              </c:strCache>
            </c:strRef>
          </c:cat>
          <c:val>
            <c:numRef>
              <c:f>Hintergrund!$N$81:$N$82</c:f>
              <c:numCache>
                <c:formatCode>0.00</c:formatCode>
                <c:ptCount val="2"/>
                <c:pt idx="1">
                  <c:v>2.091549678181456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3D-4B27-9F90-36075C27B909}"/>
            </c:ext>
          </c:extLst>
        </c:ser>
        <c:ser>
          <c:idx val="5"/>
          <c:order val="5"/>
          <c:tx>
            <c:strRef>
              <c:f>Hintergrund!$O$80</c:f>
              <c:strCache>
                <c:ptCount val="1"/>
                <c:pt idx="0">
                  <c:v>Dach (KG360)</c:v>
                </c:pt>
              </c:strCache>
            </c:strRef>
          </c:tx>
          <c:spPr>
            <a:pattFill prst="divot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Hintergrund!$I$81:$I$82</c:f>
              <c:strCache>
                <c:ptCount val="2"/>
                <c:pt idx="0">
                  <c:v>Gebäudekonstruktion:
Gesamt</c:v>
                </c:pt>
                <c:pt idx="1">
                  <c:v>Gebäudekonstruktion:
Details</c:v>
                </c:pt>
              </c:strCache>
            </c:strRef>
          </c:cat>
          <c:val>
            <c:numRef>
              <c:f>Hintergrund!$O$81:$O$82</c:f>
              <c:numCache>
                <c:formatCode>0.00</c:formatCode>
                <c:ptCount val="2"/>
                <c:pt idx="1">
                  <c:v>0.43533090008675812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3D-4B27-9F90-36075C27B909}"/>
            </c:ext>
          </c:extLst>
        </c:ser>
        <c:ser>
          <c:idx val="6"/>
          <c:order val="6"/>
          <c:tx>
            <c:strRef>
              <c:f>Hintergrund!$P$80</c:f>
              <c:strCache>
                <c:ptCount val="1"/>
                <c:pt idx="0">
                  <c:v>Wärmerzeugung (KG420)</c:v>
                </c:pt>
              </c:strCache>
            </c:strRef>
          </c:tx>
          <c:spPr>
            <a:pattFill prst="pct9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Hintergrund!$I$81:$I$82</c:f>
              <c:strCache>
                <c:ptCount val="2"/>
                <c:pt idx="0">
                  <c:v>Gebäudekonstruktion:
Gesamt</c:v>
                </c:pt>
                <c:pt idx="1">
                  <c:v>Gebäudekonstruktion:
Details</c:v>
                </c:pt>
              </c:strCache>
            </c:strRef>
          </c:cat>
          <c:val>
            <c:numRef>
              <c:f>Hintergrund!$P$81:$P$82</c:f>
              <c:numCache>
                <c:formatCode>0.00</c:formatCode>
                <c:ptCount val="2"/>
                <c:pt idx="1">
                  <c:v>0.42407293812080848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3D-4B27-9F90-36075C27B909}"/>
            </c:ext>
          </c:extLst>
        </c:ser>
        <c:ser>
          <c:idx val="7"/>
          <c:order val="7"/>
          <c:tx>
            <c:strRef>
              <c:f>Hintergrund!$Q$80</c:f>
              <c:strCache>
                <c:ptCount val="1"/>
                <c:pt idx="0">
                  <c:v>Lüftung (KG430)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Hintergrund!$I$81:$I$82</c:f>
              <c:strCache>
                <c:ptCount val="2"/>
                <c:pt idx="0">
                  <c:v>Gebäudekonstruktion:
Gesamt</c:v>
                </c:pt>
                <c:pt idx="1">
                  <c:v>Gebäudekonstruktion:
Details</c:v>
                </c:pt>
              </c:strCache>
            </c:strRef>
          </c:cat>
          <c:val>
            <c:numRef>
              <c:f>Hintergrund!$Q$81:$Q$82</c:f>
              <c:numCache>
                <c:formatCode>0.00</c:formatCode>
                <c:ptCount val="2"/>
                <c:pt idx="1">
                  <c:v>6.6164603999999988E-2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3D-4B27-9F90-36075C27B909}"/>
            </c:ext>
          </c:extLst>
        </c:ser>
        <c:ser>
          <c:idx val="8"/>
          <c:order val="8"/>
          <c:tx>
            <c:strRef>
              <c:f>Hintergrund!$R$80</c:f>
              <c:strCache>
                <c:ptCount val="1"/>
                <c:pt idx="0">
                  <c:v>Strombereitstellung (KG440)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Hintergrund!$I$81:$I$82</c:f>
              <c:strCache>
                <c:ptCount val="2"/>
                <c:pt idx="0">
                  <c:v>Gebäudekonstruktion:
Gesamt</c:v>
                </c:pt>
                <c:pt idx="1">
                  <c:v>Gebäudekonstruktion:
Details</c:v>
                </c:pt>
              </c:strCache>
            </c:strRef>
          </c:cat>
          <c:val>
            <c:numRef>
              <c:f>Hintergrund!$R$81:$R$82</c:f>
              <c:numCache>
                <c:formatCode>0.00</c:formatCode>
                <c:ptCount val="2"/>
                <c:pt idx="1">
                  <c:v>0.24537599999999996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3D-4B27-9F90-36075C27B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1804936"/>
        <c:axId val="741805920"/>
      </c:barChart>
      <c:scatterChart>
        <c:scatterStyle val="lineMarker"/>
        <c:varyColors val="0"/>
        <c:ser>
          <c:idx val="9"/>
          <c:order val="9"/>
          <c:tx>
            <c:strRef>
              <c:f>Hintergrund!$S$80</c:f>
              <c:strCache>
                <c:ptCount val="1"/>
                <c:pt idx="0">
                  <c:v>PEHOBA-Beispielgebäude:
nur Gebäudekonstruktion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30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diamond"/>
              <c:size val="20"/>
              <c:spPr>
                <a:solidFill>
                  <a:srgbClr val="FFFF00"/>
                </a:solidFill>
                <a:ln w="31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B13D-4B27-9F90-36075C27B90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3D-4B27-9F90-36075C27B9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Hintergrund!$I$81:$I$82</c:f>
              <c:strCache>
                <c:ptCount val="2"/>
                <c:pt idx="0">
                  <c:v>Gebäudekonstruktion:
Gesamt</c:v>
                </c:pt>
                <c:pt idx="1">
                  <c:v>Gebäudekonstruktion:
Details</c:v>
                </c:pt>
              </c:strCache>
            </c:strRef>
          </c:xVal>
          <c:yVal>
            <c:numRef>
              <c:f>Hintergrund!$S$81</c:f>
              <c:numCache>
                <c:formatCode>0.00</c:formatCode>
                <c:ptCount val="1"/>
                <c:pt idx="0">
                  <c:v>5.0806670104801421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13D-4B27-9F90-36075C27B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804936"/>
        <c:axId val="741805920"/>
      </c:scatterChart>
      <c:catAx>
        <c:axId val="7418049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1805920"/>
        <c:crosses val="autoZero"/>
        <c:auto val="1"/>
        <c:lblAlgn val="ctr"/>
        <c:lblOffset val="100"/>
        <c:noMultiLvlLbl val="0"/>
      </c:catAx>
      <c:valAx>
        <c:axId val="74180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18049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176183898847975E-2"/>
          <c:y val="0.76477738240025273"/>
          <c:w val="0.9398829518475299"/>
          <c:h val="0.22858612906127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de-DE" sz="1000" b="1" i="0" u="sng" baseline="0">
                <a:effectLst/>
              </a:rPr>
              <a:t>Ergebnisse der Ökobilanz über den Betrachtungszeitraum (Gebäudenutzungsdauer) von 50 Jahren</a:t>
            </a:r>
            <a:endParaRPr lang="de-DE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US" sz="1000" b="1" u="none"/>
              <a:t>GEBÄUDEKONSTRUKTION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US" sz="1000"/>
              <a:t>
</a:t>
            </a:r>
            <a:r>
              <a:rPr lang="en-US" sz="1000" b="0"/>
              <a:t>Relative Anteile verschiedener Bauteile am Beitrag zum Klimawandel (GWP)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299374116696951"/>
          <c:y val="0.26608213855202117"/>
          <c:w val="0.32677730668281851"/>
          <c:h val="0.64122330956624451"/>
        </c:manualLayout>
      </c:layout>
      <c:doughnutChart>
        <c:varyColors val="1"/>
        <c:ser>
          <c:idx val="0"/>
          <c:order val="0"/>
          <c:explosion val="5"/>
          <c:dPt>
            <c:idx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92-4138-964D-775DAE39C883}"/>
              </c:ext>
            </c:extLst>
          </c:dPt>
          <c:dPt>
            <c:idx val="1"/>
            <c:bubble3D val="0"/>
            <c:spPr>
              <a:pattFill prst="pct5">
                <a:fgClr>
                  <a:schemeClr val="accent2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92-4138-964D-775DAE39C883}"/>
              </c:ext>
            </c:extLst>
          </c:dPt>
          <c:dPt>
            <c:idx val="2"/>
            <c:bubble3D val="0"/>
            <c:spPr>
              <a:pattFill prst="ltDnDiag">
                <a:fgClr>
                  <a:schemeClr val="accent2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92-4138-964D-775DAE39C883}"/>
              </c:ext>
            </c:extLst>
          </c:dPt>
          <c:dPt>
            <c:idx val="3"/>
            <c:bubble3D val="0"/>
            <c:spPr>
              <a:pattFill prst="trellis">
                <a:fgClr>
                  <a:schemeClr val="accent2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92-4138-964D-775DAE39C883}"/>
              </c:ext>
            </c:extLst>
          </c:dPt>
          <c:dPt>
            <c:idx val="4"/>
            <c:bubble3D val="0"/>
            <c:spPr>
              <a:pattFill prst="divot">
                <a:fgClr>
                  <a:schemeClr val="accent2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92-4138-964D-775DAE39C883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492-4138-964D-775DAE39C883}"/>
              </c:ext>
            </c:extLst>
          </c:dPt>
          <c:dPt>
            <c:idx val="6"/>
            <c:bubble3D val="0"/>
            <c:spPr>
              <a:solidFill>
                <a:schemeClr val="accent5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492-4138-964D-775DAE39C883}"/>
              </c:ext>
            </c:extLst>
          </c:dPt>
          <c:dPt>
            <c:idx val="7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492-4138-964D-775DAE39C883}"/>
              </c:ext>
            </c:extLst>
          </c:dPt>
          <c:cat>
            <c:strRef>
              <c:f>Hintergrund!$M$61:$T$61</c:f>
              <c:strCache>
                <c:ptCount val="8"/>
                <c:pt idx="0">
                  <c:v>Gründung / Fundamente (KG320)</c:v>
                </c:pt>
                <c:pt idx="1">
                  <c:v>Außenwände / -fenster / -türen (KG330)</c:v>
                </c:pt>
                <c:pt idx="2">
                  <c:v>Innenwände / -türen (KG340)</c:v>
                </c:pt>
                <c:pt idx="3">
                  <c:v>Geschossdecken / Böden (KG350)</c:v>
                </c:pt>
                <c:pt idx="4">
                  <c:v>Dach (KG360)</c:v>
                </c:pt>
                <c:pt idx="5">
                  <c:v>Wärmerzeugung (KG420)</c:v>
                </c:pt>
                <c:pt idx="6">
                  <c:v>Lüftung (KG430)</c:v>
                </c:pt>
                <c:pt idx="7">
                  <c:v>Strombereitstellung (KG440)</c:v>
                </c:pt>
              </c:strCache>
            </c:strRef>
          </c:cat>
          <c:val>
            <c:numRef>
              <c:f>Hintergrund!$M$65:$T$65</c:f>
              <c:numCache>
                <c:formatCode>0.00</c:formatCode>
                <c:ptCount val="8"/>
                <c:pt idx="0">
                  <c:v>0.82467057631484353</c:v>
                </c:pt>
                <c:pt idx="1">
                  <c:v>1.7456213184532696</c:v>
                </c:pt>
                <c:pt idx="2">
                  <c:v>0.83893639676288345</c:v>
                </c:pt>
                <c:pt idx="3">
                  <c:v>2.091549678181456</c:v>
                </c:pt>
                <c:pt idx="4">
                  <c:v>0.43533090008675812</c:v>
                </c:pt>
                <c:pt idx="5">
                  <c:v>0.42407293812080848</c:v>
                </c:pt>
                <c:pt idx="6">
                  <c:v>6.6164603999999988E-2</c:v>
                </c:pt>
                <c:pt idx="7">
                  <c:v>0.24537599999999996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492-4138-964D-775DAE39C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474347597083051"/>
          <c:y val="0.25136152774241538"/>
          <c:w val="0.4728221018396796"/>
          <c:h val="0.70397877759899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8.jpeg"/><Relationship Id="rId5" Type="http://schemas.openxmlformats.org/officeDocument/2006/relationships/image" Target="../media/image7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83344</xdr:rowOff>
    </xdr:from>
    <xdr:to>
      <xdr:col>2</xdr:col>
      <xdr:colOff>654845</xdr:colOff>
      <xdr:row>7</xdr:row>
      <xdr:rowOff>111599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0F32D31-F871-4A73-870C-C87639DB0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9" y="83344"/>
          <a:ext cx="1488282" cy="1528443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</xdr:row>
      <xdr:rowOff>33339</xdr:rowOff>
    </xdr:from>
    <xdr:to>
      <xdr:col>10</xdr:col>
      <xdr:colOff>655638</xdr:colOff>
      <xdr:row>3</xdr:row>
      <xdr:rowOff>201412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48DE987-C1C8-43E5-A05F-117F72D00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3025" y="239714"/>
          <a:ext cx="2138363" cy="580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83344</xdr:rowOff>
    </xdr:from>
    <xdr:to>
      <xdr:col>2</xdr:col>
      <xdr:colOff>654845</xdr:colOff>
      <xdr:row>7</xdr:row>
      <xdr:rowOff>111599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AC67B9A-8F97-41DF-A0C3-E6F7A9376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3344"/>
          <a:ext cx="1493045" cy="1495105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</xdr:row>
      <xdr:rowOff>33339</xdr:rowOff>
    </xdr:from>
    <xdr:to>
      <xdr:col>10</xdr:col>
      <xdr:colOff>655638</xdr:colOff>
      <xdr:row>3</xdr:row>
      <xdr:rowOff>201412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87BDA3B-3707-44BE-8441-394BD07EE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42889"/>
          <a:ext cx="2132013" cy="587173"/>
        </a:xfrm>
        <a:prstGeom prst="rect">
          <a:avLst/>
        </a:prstGeom>
      </xdr:spPr>
    </xdr:pic>
    <xdr:clientData/>
  </xdr:twoCellAnchor>
  <xdr:twoCellAnchor>
    <xdr:from>
      <xdr:col>1</xdr:col>
      <xdr:colOff>209551</xdr:colOff>
      <xdr:row>11</xdr:row>
      <xdr:rowOff>228599</xdr:rowOff>
    </xdr:from>
    <xdr:to>
      <xdr:col>3</xdr:col>
      <xdr:colOff>285750</xdr:colOff>
      <xdr:row>11</xdr:row>
      <xdr:rowOff>948599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B86C18F6-7B99-4753-BF20-36462299CD59}"/>
            </a:ext>
          </a:extLst>
        </xdr:cNvPr>
        <xdr:cNvSpPr/>
      </xdr:nvSpPr>
      <xdr:spPr>
        <a:xfrm>
          <a:off x="423864" y="2157412"/>
          <a:ext cx="1743074" cy="720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ysClr val="windowText" lastClr="000000"/>
              </a:solidFill>
            </a:rPr>
            <a:t>Tabellenblatt</a:t>
          </a:r>
        </a:p>
        <a:p>
          <a:pPr algn="ctr"/>
          <a:r>
            <a:rPr lang="de-DE" sz="1100">
              <a:solidFill>
                <a:sysClr val="windowText" lastClr="000000"/>
              </a:solidFill>
            </a:rPr>
            <a:t>"Eingabe"</a:t>
          </a:r>
        </a:p>
      </xdr:txBody>
    </xdr:sp>
    <xdr:clientData/>
  </xdr:twoCellAnchor>
  <xdr:twoCellAnchor>
    <xdr:from>
      <xdr:col>1</xdr:col>
      <xdr:colOff>209551</xdr:colOff>
      <xdr:row>11</xdr:row>
      <xdr:rowOff>3124200</xdr:rowOff>
    </xdr:from>
    <xdr:to>
      <xdr:col>3</xdr:col>
      <xdr:colOff>285750</xdr:colOff>
      <xdr:row>11</xdr:row>
      <xdr:rowOff>3844200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31A898C0-8208-46E0-B16A-648EFDBC2F37}"/>
            </a:ext>
          </a:extLst>
        </xdr:cNvPr>
        <xdr:cNvSpPr/>
      </xdr:nvSpPr>
      <xdr:spPr>
        <a:xfrm>
          <a:off x="423864" y="5053013"/>
          <a:ext cx="1743074" cy="720000"/>
        </a:xfrm>
        <a:prstGeom prst="rect">
          <a:avLst/>
        </a:prstGeom>
        <a:solidFill>
          <a:schemeClr val="bg2">
            <a:lumMod val="20000"/>
            <a:lumOff val="8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ysClr val="windowText" lastClr="000000"/>
              </a:solidFill>
            </a:rPr>
            <a:t>Tabellenblatt "Hintergrund"</a:t>
          </a:r>
        </a:p>
      </xdr:txBody>
    </xdr:sp>
    <xdr:clientData/>
  </xdr:twoCellAnchor>
  <xdr:twoCellAnchor>
    <xdr:from>
      <xdr:col>1</xdr:col>
      <xdr:colOff>209551</xdr:colOff>
      <xdr:row>11</xdr:row>
      <xdr:rowOff>1181100</xdr:rowOff>
    </xdr:from>
    <xdr:to>
      <xdr:col>3</xdr:col>
      <xdr:colOff>285750</xdr:colOff>
      <xdr:row>11</xdr:row>
      <xdr:rowOff>1901100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856241E4-2AF4-4E9C-89E7-A0913734D05A}"/>
            </a:ext>
          </a:extLst>
        </xdr:cNvPr>
        <xdr:cNvSpPr/>
      </xdr:nvSpPr>
      <xdr:spPr>
        <a:xfrm>
          <a:off x="423864" y="3109913"/>
          <a:ext cx="1743074" cy="720000"/>
        </a:xfrm>
        <a:prstGeom prst="rect">
          <a:avLst/>
        </a:prstGeom>
        <a:solidFill>
          <a:schemeClr val="accent5">
            <a:lumMod val="9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ysClr val="windowText" lastClr="000000"/>
              </a:solidFill>
            </a:rPr>
            <a:t>Tabellenblatt</a:t>
          </a:r>
        </a:p>
        <a:p>
          <a:pPr algn="ctr"/>
          <a:r>
            <a:rPr lang="de-DE" sz="1100">
              <a:solidFill>
                <a:sysClr val="windowText" lastClr="000000"/>
              </a:solidFill>
            </a:rPr>
            <a:t>"Ausgabe"</a:t>
          </a:r>
        </a:p>
      </xdr:txBody>
    </xdr:sp>
    <xdr:clientData/>
  </xdr:twoCellAnchor>
  <xdr:twoCellAnchor>
    <xdr:from>
      <xdr:col>1</xdr:col>
      <xdr:colOff>209551</xdr:colOff>
      <xdr:row>11</xdr:row>
      <xdr:rowOff>2162174</xdr:rowOff>
    </xdr:from>
    <xdr:to>
      <xdr:col>3</xdr:col>
      <xdr:colOff>285750</xdr:colOff>
      <xdr:row>11</xdr:row>
      <xdr:rowOff>2882174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3CC4A40D-C9F1-4A55-B662-C26791616982}"/>
            </a:ext>
          </a:extLst>
        </xdr:cNvPr>
        <xdr:cNvSpPr/>
      </xdr:nvSpPr>
      <xdr:spPr>
        <a:xfrm>
          <a:off x="423864" y="4090987"/>
          <a:ext cx="1743074" cy="720000"/>
        </a:xfrm>
        <a:prstGeom prst="rect">
          <a:avLst/>
        </a:prstGeom>
        <a:solidFill>
          <a:srgbClr val="002060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bg1"/>
              </a:solidFill>
            </a:rPr>
            <a:t>Tabellenblatt "Datenbasis"</a:t>
          </a:r>
        </a:p>
      </xdr:txBody>
    </xdr:sp>
    <xdr:clientData/>
  </xdr:twoCellAnchor>
  <xdr:twoCellAnchor>
    <xdr:from>
      <xdr:col>4</xdr:col>
      <xdr:colOff>261938</xdr:colOff>
      <xdr:row>11</xdr:row>
      <xdr:rowOff>247649</xdr:rowOff>
    </xdr:from>
    <xdr:to>
      <xdr:col>6</xdr:col>
      <xdr:colOff>350044</xdr:colOff>
      <xdr:row>11</xdr:row>
      <xdr:rowOff>967649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EF4EC876-9CBD-481F-9F04-64FC27A87E59}"/>
            </a:ext>
          </a:extLst>
        </xdr:cNvPr>
        <xdr:cNvSpPr/>
      </xdr:nvSpPr>
      <xdr:spPr>
        <a:xfrm>
          <a:off x="2976563" y="2176462"/>
          <a:ext cx="1754981" cy="720000"/>
        </a:xfrm>
        <a:prstGeom prst="rect">
          <a:avLst/>
        </a:prstGeom>
        <a:solidFill>
          <a:schemeClr val="bg2">
            <a:alpha val="3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700" u="sng" baseline="0">
              <a:solidFill>
                <a:sysClr val="windowText" lastClr="000000"/>
              </a:solidFill>
            </a:rPr>
            <a:t>Gebäudedaten eingeben</a:t>
          </a:r>
        </a:p>
        <a:p>
          <a:pPr algn="l"/>
          <a:r>
            <a:rPr lang="de-DE" sz="700" baseline="0">
              <a:solidFill>
                <a:sysClr val="windowText" lastClr="000000"/>
              </a:solidFill>
            </a:rPr>
            <a:t>- </a:t>
          </a:r>
          <a:r>
            <a:rPr lang="de-DE" sz="700">
              <a:solidFill>
                <a:sysClr val="windowText" lastClr="000000"/>
              </a:solidFill>
            </a:rPr>
            <a:t>Analyseumfang wählen </a:t>
          </a:r>
        </a:p>
        <a:p>
          <a:pPr algn="l"/>
          <a:r>
            <a:rPr lang="de-DE" sz="700">
              <a:solidFill>
                <a:sysClr val="windowText" lastClr="000000"/>
              </a:solidFill>
            </a:rPr>
            <a:t>- Geplante Netto-Raumfläche</a:t>
          </a:r>
          <a:r>
            <a:rPr lang="de-DE" sz="700" baseline="0">
              <a:solidFill>
                <a:sysClr val="windowText" lastClr="000000"/>
              </a:solidFill>
            </a:rPr>
            <a:t> (NRF) eingeben ODER geplante Anzahl Hotelzimmer</a:t>
          </a:r>
          <a:endParaRPr lang="de-DE" sz="7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459583</xdr:colOff>
      <xdr:row>11</xdr:row>
      <xdr:rowOff>431437</xdr:rowOff>
    </xdr:from>
    <xdr:to>
      <xdr:col>4</xdr:col>
      <xdr:colOff>92871</xdr:colOff>
      <xdr:row>11</xdr:row>
      <xdr:rowOff>745762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822EE758-0964-49FA-92E0-9D92304EAF9A}"/>
            </a:ext>
          </a:extLst>
        </xdr:cNvPr>
        <xdr:cNvSpPr/>
      </xdr:nvSpPr>
      <xdr:spPr>
        <a:xfrm>
          <a:off x="2340771" y="2360250"/>
          <a:ext cx="466725" cy="314325"/>
        </a:xfrm>
        <a:prstGeom prst="rightArrow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459583</xdr:colOff>
      <xdr:row>11</xdr:row>
      <xdr:rowOff>1383938</xdr:rowOff>
    </xdr:from>
    <xdr:to>
      <xdr:col>4</xdr:col>
      <xdr:colOff>92871</xdr:colOff>
      <xdr:row>11</xdr:row>
      <xdr:rowOff>1698263</xdr:rowOff>
    </xdr:to>
    <xdr:sp macro="" textlink="">
      <xdr:nvSpPr>
        <xdr:cNvPr id="10" name="Pfeil: nach rechts 9">
          <a:extLst>
            <a:ext uri="{FF2B5EF4-FFF2-40B4-BE49-F238E27FC236}">
              <a16:creationId xmlns:a16="http://schemas.microsoft.com/office/drawing/2014/main" id="{F4381FC7-E468-491F-9FB8-6C6C677848E9}"/>
            </a:ext>
          </a:extLst>
        </xdr:cNvPr>
        <xdr:cNvSpPr/>
      </xdr:nvSpPr>
      <xdr:spPr>
        <a:xfrm>
          <a:off x="2340771" y="3312751"/>
          <a:ext cx="466725" cy="314325"/>
        </a:xfrm>
        <a:prstGeom prst="rightArrow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459583</xdr:colOff>
      <xdr:row>11</xdr:row>
      <xdr:rowOff>2365012</xdr:rowOff>
    </xdr:from>
    <xdr:to>
      <xdr:col>4</xdr:col>
      <xdr:colOff>92871</xdr:colOff>
      <xdr:row>11</xdr:row>
      <xdr:rowOff>2679337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70A22F80-02A4-4985-A589-87FF7BD0A43E}"/>
            </a:ext>
          </a:extLst>
        </xdr:cNvPr>
        <xdr:cNvSpPr/>
      </xdr:nvSpPr>
      <xdr:spPr>
        <a:xfrm>
          <a:off x="2340771" y="4293825"/>
          <a:ext cx="466725" cy="314325"/>
        </a:xfrm>
        <a:prstGeom prst="rightArrow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459583</xdr:colOff>
      <xdr:row>11</xdr:row>
      <xdr:rowOff>3327038</xdr:rowOff>
    </xdr:from>
    <xdr:to>
      <xdr:col>4</xdr:col>
      <xdr:colOff>92871</xdr:colOff>
      <xdr:row>11</xdr:row>
      <xdr:rowOff>3641363</xdr:rowOff>
    </xdr:to>
    <xdr:sp macro="" textlink="">
      <xdr:nvSpPr>
        <xdr:cNvPr id="12" name="Pfeil: nach rechts 11">
          <a:extLst>
            <a:ext uri="{FF2B5EF4-FFF2-40B4-BE49-F238E27FC236}">
              <a16:creationId xmlns:a16="http://schemas.microsoft.com/office/drawing/2014/main" id="{7CB4785E-C1AC-4BE7-B931-372228BE5B55}"/>
            </a:ext>
          </a:extLst>
        </xdr:cNvPr>
        <xdr:cNvSpPr/>
      </xdr:nvSpPr>
      <xdr:spPr>
        <a:xfrm>
          <a:off x="2340771" y="5255851"/>
          <a:ext cx="466725" cy="314325"/>
        </a:xfrm>
        <a:prstGeom prst="rightArrow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418165</xdr:colOff>
      <xdr:row>11</xdr:row>
      <xdr:rowOff>247649</xdr:rowOff>
    </xdr:from>
    <xdr:to>
      <xdr:col>8</xdr:col>
      <xdr:colOff>495302</xdr:colOff>
      <xdr:row>11</xdr:row>
      <xdr:rowOff>967649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6D12C093-5201-4FEE-963E-72722A08EADA}"/>
            </a:ext>
          </a:extLst>
        </xdr:cNvPr>
        <xdr:cNvSpPr/>
      </xdr:nvSpPr>
      <xdr:spPr>
        <a:xfrm>
          <a:off x="4799665" y="2176462"/>
          <a:ext cx="1744012" cy="720000"/>
        </a:xfrm>
        <a:prstGeom prst="rect">
          <a:avLst/>
        </a:prstGeom>
        <a:solidFill>
          <a:schemeClr val="accent3">
            <a:lumMod val="50000"/>
            <a:alpha val="3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de-DE" sz="700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Gebäudekonstruktion</a:t>
          </a:r>
          <a:r>
            <a:rPr lang="de-DE" sz="700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planen</a:t>
          </a:r>
        </a:p>
        <a:p>
          <a:pPr marL="0" indent="0" algn="l"/>
          <a:r>
            <a:rPr lang="de-DE" sz="7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Bauweise wählen</a:t>
          </a:r>
        </a:p>
        <a:p>
          <a:pPr marL="0" indent="0" algn="l"/>
          <a:r>
            <a:rPr lang="de-DE" sz="7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Energiestandard</a:t>
          </a:r>
          <a:r>
            <a:rPr lang="de-DE" sz="7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wählen</a:t>
          </a:r>
          <a:endParaRPr lang="de-DE" sz="7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de-DE" sz="7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Anforderung an den Schallschutz wählen</a:t>
          </a:r>
        </a:p>
      </xdr:txBody>
    </xdr:sp>
    <xdr:clientData/>
  </xdr:twoCellAnchor>
  <xdr:twoCellAnchor>
    <xdr:from>
      <xdr:col>8</xdr:col>
      <xdr:colOff>589615</xdr:colOff>
      <xdr:row>11</xdr:row>
      <xdr:rowOff>247649</xdr:rowOff>
    </xdr:from>
    <xdr:to>
      <xdr:col>10</xdr:col>
      <xdr:colOff>666752</xdr:colOff>
      <xdr:row>11</xdr:row>
      <xdr:rowOff>967649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129FCC2E-4DAE-438A-B3BF-7860FDCB3C46}"/>
            </a:ext>
          </a:extLst>
        </xdr:cNvPr>
        <xdr:cNvSpPr/>
      </xdr:nvSpPr>
      <xdr:spPr>
        <a:xfrm>
          <a:off x="6637990" y="2176462"/>
          <a:ext cx="1744012" cy="720000"/>
        </a:xfrm>
        <a:prstGeom prst="rect">
          <a:avLst/>
        </a:prstGeom>
        <a:solidFill>
          <a:srgbClr val="7030A0">
            <a:alpha val="3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de-DE" sz="700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Gebäudebetrieb planen:</a:t>
          </a:r>
        </a:p>
        <a:p>
          <a:pPr marL="0" indent="0" algn="l"/>
          <a:r>
            <a:rPr lang="de-DE" sz="7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Energiekonzept wählen bzw. Eenrgieträger</a:t>
          </a:r>
        </a:p>
        <a:p>
          <a:pPr marL="0" indent="0" algn="l"/>
          <a:r>
            <a:rPr lang="de-DE" sz="7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Energiebedarf eintragen</a:t>
          </a:r>
        </a:p>
      </xdr:txBody>
    </xdr:sp>
    <xdr:clientData/>
  </xdr:twoCellAnchor>
  <xdr:twoCellAnchor>
    <xdr:from>
      <xdr:col>4</xdr:col>
      <xdr:colOff>250031</xdr:colOff>
      <xdr:row>11</xdr:row>
      <xdr:rowOff>1238250</xdr:rowOff>
    </xdr:from>
    <xdr:to>
      <xdr:col>6</xdr:col>
      <xdr:colOff>338137</xdr:colOff>
      <xdr:row>11</xdr:row>
      <xdr:rowOff>1958250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1C8F5F8B-9EAD-472D-A6D8-FDD34C0C7D64}"/>
            </a:ext>
          </a:extLst>
        </xdr:cNvPr>
        <xdr:cNvSpPr/>
      </xdr:nvSpPr>
      <xdr:spPr>
        <a:xfrm>
          <a:off x="2964656" y="3167063"/>
          <a:ext cx="1754981" cy="720000"/>
        </a:xfrm>
        <a:prstGeom prst="rect">
          <a:avLst/>
        </a:prstGeom>
        <a:solidFill>
          <a:schemeClr val="bg1">
            <a:alpha val="3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700" u="sng" baseline="0">
              <a:solidFill>
                <a:sysClr val="windowText" lastClr="000000"/>
              </a:solidFill>
            </a:rPr>
            <a:t>Tabellarisch</a:t>
          </a:r>
        </a:p>
        <a:p>
          <a:pPr algn="l"/>
          <a:r>
            <a:rPr lang="de-DE" sz="700" baseline="0">
              <a:solidFill>
                <a:sysClr val="windowText" lastClr="000000"/>
              </a:solidFill>
            </a:rPr>
            <a:t>- </a:t>
          </a:r>
          <a:r>
            <a:rPr lang="de-DE" sz="700">
              <a:solidFill>
                <a:sysClr val="windowText" lastClr="000000"/>
              </a:solidFill>
            </a:rPr>
            <a:t>Potenzielle CO2-äquivalente Emissionen für</a:t>
          </a:r>
          <a:r>
            <a:rPr lang="de-DE" sz="700" baseline="0">
              <a:solidFill>
                <a:sysClr val="windowText" lastClr="000000"/>
              </a:solidFill>
            </a:rPr>
            <a:t> das Gebäude über 50 Jahre und je 1m2 Netto-Raumfläche und Jahr</a:t>
          </a:r>
          <a:endParaRPr lang="de-DE" sz="7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416719</xdr:colOff>
      <xdr:row>11</xdr:row>
      <xdr:rowOff>1238251</xdr:rowOff>
    </xdr:from>
    <xdr:to>
      <xdr:col>10</xdr:col>
      <xdr:colOff>690563</xdr:colOff>
      <xdr:row>11</xdr:row>
      <xdr:rowOff>1958251</xdr:rowOff>
    </xdr:to>
    <xdr:sp macro="" textlink="">
      <xdr:nvSpPr>
        <xdr:cNvPr id="16" name="Rechteck 15">
          <a:extLst>
            <a:ext uri="{FF2B5EF4-FFF2-40B4-BE49-F238E27FC236}">
              <a16:creationId xmlns:a16="http://schemas.microsoft.com/office/drawing/2014/main" id="{D5DDABBA-E26A-4300-B6E9-8ACEF2A110EF}"/>
            </a:ext>
          </a:extLst>
        </xdr:cNvPr>
        <xdr:cNvSpPr/>
      </xdr:nvSpPr>
      <xdr:spPr>
        <a:xfrm>
          <a:off x="4829969" y="3127376"/>
          <a:ext cx="3639344" cy="720000"/>
        </a:xfrm>
        <a:prstGeom prst="rect">
          <a:avLst/>
        </a:prstGeom>
        <a:solidFill>
          <a:schemeClr val="bg1">
            <a:alpha val="3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de-DE" sz="700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Visuell / Diagramme</a:t>
          </a:r>
        </a:p>
        <a:p>
          <a:pPr marL="0" indent="0" algn="l"/>
          <a:r>
            <a:rPr lang="de-DE" sz="70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Potenzielle CO2-äquivalente Emissionen für das Gebäude über 50 Jahre nach Lebenszyklusmodulen und Anteil Gebäudebetrieb sowie Baukonstruktion</a:t>
          </a:r>
        </a:p>
        <a:p>
          <a:pPr marL="0" indent="0" algn="l"/>
          <a:r>
            <a:rPr lang="de-DE" sz="70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Differenzierung der Ergebnisse zur Gebäudekonstruktion und Detailbetrachtung</a:t>
          </a:r>
        </a:p>
        <a:p>
          <a:pPr marL="0" indent="0" algn="l"/>
          <a:r>
            <a:rPr lang="de-DE" sz="70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Differenzierung der Ergebnisse im Gebäudebetrieb und Detailbetrachtung</a:t>
          </a:r>
        </a:p>
      </xdr:txBody>
    </xdr:sp>
    <xdr:clientData/>
  </xdr:twoCellAnchor>
  <xdr:twoCellAnchor>
    <xdr:from>
      <xdr:col>4</xdr:col>
      <xdr:colOff>242094</xdr:colOff>
      <xdr:row>11</xdr:row>
      <xdr:rowOff>2166938</xdr:rowOff>
    </xdr:from>
    <xdr:to>
      <xdr:col>10</xdr:col>
      <xdr:colOff>698500</xdr:colOff>
      <xdr:row>11</xdr:row>
      <xdr:rowOff>2886938</xdr:rowOff>
    </xdr:to>
    <xdr:sp macro="" textlink="">
      <xdr:nvSpPr>
        <xdr:cNvPr id="17" name="Rechteck 16">
          <a:extLst>
            <a:ext uri="{FF2B5EF4-FFF2-40B4-BE49-F238E27FC236}">
              <a16:creationId xmlns:a16="http://schemas.microsoft.com/office/drawing/2014/main" id="{062EAC51-3C1E-4FDB-95F5-740475896A42}"/>
            </a:ext>
          </a:extLst>
        </xdr:cNvPr>
        <xdr:cNvSpPr/>
      </xdr:nvSpPr>
      <xdr:spPr>
        <a:xfrm>
          <a:off x="2972594" y="4056063"/>
          <a:ext cx="5504656" cy="720000"/>
        </a:xfrm>
        <a:prstGeom prst="rect">
          <a:avLst/>
        </a:prstGeom>
        <a:solidFill>
          <a:schemeClr val="bg1">
            <a:alpha val="3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700" u="sng" baseline="0">
              <a:solidFill>
                <a:sysClr val="windowText" lastClr="000000"/>
              </a:solidFill>
            </a:rPr>
            <a:t>Datengrundlage des Excel-Tools PEHOBA</a:t>
          </a:r>
        </a:p>
        <a:p>
          <a:pPr algn="l"/>
          <a:r>
            <a:rPr lang="de-DE" sz="700" baseline="0">
              <a:solidFill>
                <a:sysClr val="windowText" lastClr="000000"/>
              </a:solidFill>
            </a:rPr>
            <a:t>- Ergebnisse der Gebäudeökobilanz für 18 Gebäudemodelle, die dem Excel-Tool PEHOBA zu Grunde liegen</a:t>
          </a:r>
        </a:p>
        <a:p>
          <a:pPr algn="l"/>
          <a:r>
            <a:rPr lang="de-DE" sz="700" baseline="0">
              <a:solidFill>
                <a:sysClr val="windowText" lastClr="000000"/>
              </a:solidFill>
            </a:rPr>
            <a:t>- Datenquelle: IBP-Gebäudeökobilanztool Generis©, unter zu Hilfenahme der Ökobilanz-Datenbank ÖKOBAUDAT</a:t>
          </a:r>
        </a:p>
      </xdr:txBody>
    </xdr:sp>
    <xdr:clientData/>
  </xdr:twoCellAnchor>
  <xdr:twoCellAnchor>
    <xdr:from>
      <xdr:col>4</xdr:col>
      <xdr:colOff>235744</xdr:colOff>
      <xdr:row>11</xdr:row>
      <xdr:rowOff>3136901</xdr:rowOff>
    </xdr:from>
    <xdr:to>
      <xdr:col>10</xdr:col>
      <xdr:colOff>692150</xdr:colOff>
      <xdr:row>11</xdr:row>
      <xdr:rowOff>3856901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E489C339-B097-4C18-BCC2-C8F529FBF1DC}"/>
            </a:ext>
          </a:extLst>
        </xdr:cNvPr>
        <xdr:cNvSpPr/>
      </xdr:nvSpPr>
      <xdr:spPr>
        <a:xfrm>
          <a:off x="2966244" y="5026026"/>
          <a:ext cx="5504656" cy="720000"/>
        </a:xfrm>
        <a:prstGeom prst="rect">
          <a:avLst/>
        </a:prstGeom>
        <a:solidFill>
          <a:schemeClr val="bg1">
            <a:alpha val="3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700" u="none" baseline="0">
              <a:solidFill>
                <a:sysClr val="windowText" lastClr="000000"/>
              </a:solidFill>
            </a:rPr>
            <a:t>Hintergrundberechnungen des Tools PEHOBA auf Basis der Eingangsdaten im Tabellenblatt "Eingabe"und Basis der Ergebnisdarstellung im Tabellenblatt "Ausgabe".</a:t>
          </a:r>
          <a:endParaRPr lang="de-DE" sz="70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11906</xdr:rowOff>
    </xdr:from>
    <xdr:to>
      <xdr:col>1</xdr:col>
      <xdr:colOff>1481139</xdr:colOff>
      <xdr:row>7</xdr:row>
      <xdr:rowOff>173511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4B97B7CD-6F15-4362-BDB8-16CBFA590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6" y="11906"/>
          <a:ext cx="1481139" cy="1495105"/>
        </a:xfrm>
        <a:prstGeom prst="rect">
          <a:avLst/>
        </a:prstGeom>
      </xdr:spPr>
    </xdr:pic>
    <xdr:clientData/>
  </xdr:twoCellAnchor>
  <xdr:twoCellAnchor editAs="oneCell">
    <xdr:from>
      <xdr:col>5</xdr:col>
      <xdr:colOff>2083593</xdr:colOff>
      <xdr:row>2</xdr:row>
      <xdr:rowOff>95250</xdr:rowOff>
    </xdr:from>
    <xdr:to>
      <xdr:col>7</xdr:col>
      <xdr:colOff>348456</xdr:colOff>
      <xdr:row>5</xdr:row>
      <xdr:rowOff>120448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A1850AA6-EEA8-482E-962D-0743DBD0F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6156" y="476250"/>
          <a:ext cx="2122488" cy="596698"/>
        </a:xfrm>
        <a:prstGeom prst="rect">
          <a:avLst/>
        </a:prstGeom>
      </xdr:spPr>
    </xdr:pic>
    <xdr:clientData/>
  </xdr:twoCellAnchor>
  <xdr:twoCellAnchor>
    <xdr:from>
      <xdr:col>8</xdr:col>
      <xdr:colOff>291162</xdr:colOff>
      <xdr:row>44</xdr:row>
      <xdr:rowOff>130969</xdr:rowOff>
    </xdr:from>
    <xdr:to>
      <xdr:col>14</xdr:col>
      <xdr:colOff>11906</xdr:colOff>
      <xdr:row>48</xdr:row>
      <xdr:rowOff>59531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BC0F5980-26A8-450E-84D8-94FEDB0E1730}"/>
            </a:ext>
          </a:extLst>
        </xdr:cNvPr>
        <xdr:cNvSpPr/>
      </xdr:nvSpPr>
      <xdr:spPr>
        <a:xfrm>
          <a:off x="10244787" y="7286625"/>
          <a:ext cx="6114400" cy="595312"/>
        </a:xfrm>
        <a:prstGeom prst="rect">
          <a:avLst/>
        </a:prstGeom>
        <a:solidFill>
          <a:schemeClr val="bg1"/>
        </a:solidFill>
        <a:ln w="3175">
          <a:solidFill>
            <a:srgbClr val="33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PV:</a:t>
          </a:r>
        </a:p>
        <a:p>
          <a:pPr algn="l"/>
          <a:r>
            <a:rPr lang="de-DE" sz="800">
              <a:solidFill>
                <a:sysClr val="windowText" lastClr="000000"/>
              </a:solidFill>
            </a:rPr>
            <a:t>Die Strombereitstellung wird über die Flächeneingabe automatisch abgeschätzt. Strombereitstellung über PV wird nicht vom "Energiebedarf</a:t>
          </a:r>
          <a:r>
            <a:rPr lang="de-DE" sz="800" baseline="0">
              <a:solidFill>
                <a:sysClr val="windowText" lastClr="000000"/>
              </a:solidFill>
            </a:rPr>
            <a:t> für Strom (geplant)" abgezogen, sondern mit einer entsprechenden Gutschrift für den deutschen Strom-Mix bilanziert.</a:t>
          </a:r>
          <a:endParaRPr lang="de-DE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273844</xdr:colOff>
      <xdr:row>39</xdr:row>
      <xdr:rowOff>7937</xdr:rowOff>
    </xdr:from>
    <xdr:to>
      <xdr:col>14</xdr:col>
      <xdr:colOff>11905</xdr:colOff>
      <xdr:row>44</xdr:row>
      <xdr:rowOff>10583</xdr:rowOff>
    </xdr:to>
    <xdr:sp macro="" textlink="">
      <xdr:nvSpPr>
        <xdr:cNvPr id="23" name="Rechteck 22">
          <a:extLst>
            <a:ext uri="{FF2B5EF4-FFF2-40B4-BE49-F238E27FC236}">
              <a16:creationId xmlns:a16="http://schemas.microsoft.com/office/drawing/2014/main" id="{4ACA8979-3250-4793-9079-8E6CF53F78B1}"/>
            </a:ext>
          </a:extLst>
        </xdr:cNvPr>
        <xdr:cNvSpPr/>
      </xdr:nvSpPr>
      <xdr:spPr>
        <a:xfrm>
          <a:off x="10232761" y="6167437"/>
          <a:ext cx="6130394" cy="754063"/>
        </a:xfrm>
        <a:prstGeom prst="rect">
          <a:avLst/>
        </a:prstGeom>
        <a:solidFill>
          <a:schemeClr val="bg1"/>
        </a:solidFill>
        <a:ln w="3175">
          <a:solidFill>
            <a:srgbClr val="BEA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Strom:</a:t>
          </a:r>
        </a:p>
        <a:p>
          <a:pPr algn="l"/>
          <a:r>
            <a:rPr lang="de-DE" sz="800">
              <a:solidFill>
                <a:sysClr val="windowText" lastClr="000000"/>
              </a:solidFill>
            </a:rPr>
            <a:t>Eingabewert als Summenwert für Luftförderung, Kühlkälte und Beleuchtung.</a:t>
          </a:r>
          <a:r>
            <a:rPr lang="de-DE" sz="800" baseline="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de-DE" sz="800" baseline="0">
              <a:solidFill>
                <a:sysClr val="windowText" lastClr="000000"/>
              </a:solidFill>
            </a:rPr>
            <a:t>Keinen Abzug für PV-Strom vornehmen.</a:t>
          </a:r>
        </a:p>
        <a:p>
          <a:pPr algn="l"/>
          <a:r>
            <a:rPr lang="de-DE" sz="800" baseline="0">
              <a:solidFill>
                <a:sysClr val="windowText" lastClr="000000"/>
              </a:solidFill>
            </a:rPr>
            <a:t>Hinweis bei Wahl einer Wärmepumpe: Es ist keine Eingabe des Strombedarfs für die Wärmepumpe notwendig. Der Wärmebedarf, der durch die Wärmepumpe gedeckt wird, muss lediglich im EIngabewert "Energiebedarf für die Wärme (geplant)" berücksichtigt werden.</a:t>
          </a:r>
          <a:endParaRPr lang="de-DE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271463</xdr:colOff>
      <xdr:row>35</xdr:row>
      <xdr:rowOff>107156</xdr:rowOff>
    </xdr:from>
    <xdr:to>
      <xdr:col>14</xdr:col>
      <xdr:colOff>0</xdr:colOff>
      <xdr:row>38</xdr:row>
      <xdr:rowOff>95250</xdr:rowOff>
    </xdr:to>
    <xdr:sp macro="" textlink="">
      <xdr:nvSpPr>
        <xdr:cNvPr id="24" name="Rechteck 23">
          <a:extLst>
            <a:ext uri="{FF2B5EF4-FFF2-40B4-BE49-F238E27FC236}">
              <a16:creationId xmlns:a16="http://schemas.microsoft.com/office/drawing/2014/main" id="{CB4F173D-D31C-4FF3-AF09-487A3CFFE335}"/>
            </a:ext>
          </a:extLst>
        </xdr:cNvPr>
        <xdr:cNvSpPr/>
      </xdr:nvSpPr>
      <xdr:spPr>
        <a:xfrm>
          <a:off x="10225088" y="5822156"/>
          <a:ext cx="6122193" cy="476250"/>
        </a:xfrm>
        <a:prstGeom prst="rect">
          <a:avLst/>
        </a:prstGeom>
        <a:solidFill>
          <a:schemeClr val="bg1"/>
        </a:solidFill>
        <a:ln w="3175">
          <a:solidFill>
            <a:srgbClr val="5E43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Wärme:</a:t>
          </a:r>
        </a:p>
        <a:p>
          <a:pPr algn="l"/>
          <a:r>
            <a:rPr lang="de-DE" sz="800">
              <a:solidFill>
                <a:sysClr val="windowText" lastClr="000000"/>
              </a:solidFill>
            </a:rPr>
            <a:t>Eingabewert als Summenwert für Heizen und Warmwasserbereitstellung.</a:t>
          </a:r>
        </a:p>
        <a:p>
          <a:pPr algn="l"/>
          <a:r>
            <a:rPr lang="de-DE" sz="800">
              <a:solidFill>
                <a:sysClr val="windowText" lastClr="000000"/>
              </a:solidFill>
            </a:rPr>
            <a:t>Keinen Abzug für die Wärmebereitstellung</a:t>
          </a:r>
          <a:r>
            <a:rPr lang="de-DE" sz="800" baseline="0">
              <a:solidFill>
                <a:sysClr val="windowText" lastClr="000000"/>
              </a:solidFill>
            </a:rPr>
            <a:t> aus Solarthermie vornehmen.</a:t>
          </a:r>
          <a:endParaRPr lang="de-DE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288781</xdr:colOff>
      <xdr:row>49</xdr:row>
      <xdr:rowOff>152400</xdr:rowOff>
    </xdr:from>
    <xdr:to>
      <xdr:col>14</xdr:col>
      <xdr:colOff>23813</xdr:colOff>
      <xdr:row>52</xdr:row>
      <xdr:rowOff>142875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13E9B807-1123-4946-A8D3-E826DB56169B}"/>
            </a:ext>
          </a:extLst>
        </xdr:cNvPr>
        <xdr:cNvSpPr/>
      </xdr:nvSpPr>
      <xdr:spPr>
        <a:xfrm>
          <a:off x="10242406" y="8129588"/>
          <a:ext cx="6128688" cy="490537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Solarthermie:</a:t>
          </a:r>
        </a:p>
        <a:p>
          <a:pPr algn="l"/>
          <a:r>
            <a:rPr lang="de-DE" sz="800">
              <a:solidFill>
                <a:sysClr val="windowText" lastClr="000000"/>
              </a:solidFill>
            </a:rPr>
            <a:t>Die  Wärmebereitstellung über Solarthermie wird über die Flächeneingabe automatisch abgeschätzt. Die potenziell</a:t>
          </a:r>
          <a:r>
            <a:rPr lang="de-DE" sz="800" baseline="0">
              <a:solidFill>
                <a:sysClr val="windowText" lastClr="000000"/>
              </a:solidFill>
            </a:rPr>
            <a:t> bereit gestellte Wärme wird beim Energiebedarf für Wärme  (s.o.) vereinfacht zum Abzug gebracht.</a:t>
          </a:r>
        </a:p>
      </xdr:txBody>
    </xdr:sp>
    <xdr:clientData/>
  </xdr:twoCellAnchor>
  <xdr:twoCellAnchor>
    <xdr:from>
      <xdr:col>1</xdr:col>
      <xdr:colOff>23812</xdr:colOff>
      <xdr:row>41</xdr:row>
      <xdr:rowOff>137585</xdr:rowOff>
    </xdr:from>
    <xdr:to>
      <xdr:col>3</xdr:col>
      <xdr:colOff>497418</xdr:colOff>
      <xdr:row>45</xdr:row>
      <xdr:rowOff>116416</xdr:rowOff>
    </xdr:to>
    <xdr:sp macro="" textlink="">
      <xdr:nvSpPr>
        <xdr:cNvPr id="26" name="Rechteck 25">
          <a:extLst>
            <a:ext uri="{FF2B5EF4-FFF2-40B4-BE49-F238E27FC236}">
              <a16:creationId xmlns:a16="http://schemas.microsoft.com/office/drawing/2014/main" id="{AC2814E8-347A-4F41-87C0-1D5436F1CDB9}"/>
            </a:ext>
          </a:extLst>
        </xdr:cNvPr>
        <xdr:cNvSpPr/>
      </xdr:nvSpPr>
      <xdr:spPr>
        <a:xfrm>
          <a:off x="542395" y="6847418"/>
          <a:ext cx="4336523" cy="582081"/>
        </a:xfrm>
        <a:prstGeom prst="rect">
          <a:avLst/>
        </a:prstGeom>
        <a:solidFill>
          <a:schemeClr val="bg1"/>
        </a:solidFill>
        <a:ln w="317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Gebäudekonstruktion:</a:t>
          </a:r>
        </a:p>
        <a:p>
          <a:pPr algn="l"/>
          <a:r>
            <a:rPr lang="de-DE" sz="800">
              <a:solidFill>
                <a:sysClr val="windowText" lastClr="000000"/>
              </a:solidFill>
            </a:rPr>
            <a:t>Es werden nur energetisch,</a:t>
          </a:r>
          <a:r>
            <a:rPr lang="de-DE" sz="800" baseline="0">
              <a:solidFill>
                <a:sysClr val="windowText" lastClr="000000"/>
              </a:solidFill>
            </a:rPr>
            <a:t> statisch und akustisch relevante Bauteile berücksichtigt.</a:t>
          </a:r>
        </a:p>
        <a:p>
          <a:pPr algn="l"/>
          <a:r>
            <a:rPr lang="de-DE" sz="800" baseline="0">
              <a:solidFill>
                <a:sysClr val="windowText" lastClr="000000"/>
              </a:solidFill>
            </a:rPr>
            <a:t>Innnenausstattung (Waschbecken o.ä.) und Nutzerausstattung (Fernseher o.ä.) werden nicht berücksichtigt. </a:t>
          </a:r>
          <a:endParaRPr lang="de-DE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17926</xdr:colOff>
      <xdr:row>34</xdr:row>
      <xdr:rowOff>129098</xdr:rowOff>
    </xdr:from>
    <xdr:to>
      <xdr:col>4</xdr:col>
      <xdr:colOff>28575</xdr:colOff>
      <xdr:row>59</xdr:row>
      <xdr:rowOff>163285</xdr:rowOff>
    </xdr:to>
    <xdr:graphicFrame macro="">
      <xdr:nvGraphicFramePr>
        <xdr:cNvPr id="3" name="Diagramm 5">
          <a:extLst>
            <a:ext uri="{FF2B5EF4-FFF2-40B4-BE49-F238E27FC236}">
              <a16:creationId xmlns:a16="http://schemas.microsoft.com/office/drawing/2014/main" id="{74CB2578-D349-4D09-95CD-0A70E0DC1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191855</xdr:colOff>
      <xdr:row>100</xdr:row>
      <xdr:rowOff>156481</xdr:rowOff>
    </xdr:from>
    <xdr:to>
      <xdr:col>3</xdr:col>
      <xdr:colOff>1222375</xdr:colOff>
      <xdr:row>120</xdr:row>
      <xdr:rowOff>31750</xdr:rowOff>
    </xdr:to>
    <xdr:graphicFrame macro="">
      <xdr:nvGraphicFramePr>
        <xdr:cNvPr id="5" name="Diagramm 16">
          <a:extLst>
            <a:ext uri="{FF2B5EF4-FFF2-40B4-BE49-F238E27FC236}">
              <a16:creationId xmlns:a16="http://schemas.microsoft.com/office/drawing/2014/main" id="{AA3C5677-883C-4DC1-A7C3-495A6A578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6146</xdr:colOff>
      <xdr:row>65</xdr:row>
      <xdr:rowOff>98405</xdr:rowOff>
    </xdr:from>
    <xdr:to>
      <xdr:col>3</xdr:col>
      <xdr:colOff>1238250</xdr:colOff>
      <xdr:row>96</xdr:row>
      <xdr:rowOff>47624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5CC8532-5CA9-4263-91CE-D93E5BBF8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1442355</xdr:colOff>
      <xdr:row>65</xdr:row>
      <xdr:rowOff>91848</xdr:rowOff>
    </xdr:from>
    <xdr:to>
      <xdr:col>8</xdr:col>
      <xdr:colOff>190500</xdr:colOff>
      <xdr:row>85</xdr:row>
      <xdr:rowOff>68036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672F28BD-996D-48AB-8E94-465424880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496660</xdr:colOff>
      <xdr:row>20</xdr:row>
      <xdr:rowOff>18444</xdr:rowOff>
    </xdr:from>
    <xdr:to>
      <xdr:col>8</xdr:col>
      <xdr:colOff>47625</xdr:colOff>
      <xdr:row>20</xdr:row>
      <xdr:rowOff>642938</xdr:rowOff>
    </xdr:to>
    <xdr:sp macro="" textlink="">
      <xdr:nvSpPr>
        <xdr:cNvPr id="17" name="Rechteck 16">
          <a:extLst>
            <a:ext uri="{FF2B5EF4-FFF2-40B4-BE49-F238E27FC236}">
              <a16:creationId xmlns:a16="http://schemas.microsoft.com/office/drawing/2014/main" id="{A865F0A0-F761-4544-AEDB-592527789972}"/>
            </a:ext>
          </a:extLst>
        </xdr:cNvPr>
        <xdr:cNvSpPr/>
      </xdr:nvSpPr>
      <xdr:spPr>
        <a:xfrm>
          <a:off x="8152379" y="3935600"/>
          <a:ext cx="4206309" cy="624494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Gebäude gesamt über 50 Jahre:</a:t>
          </a:r>
        </a:p>
        <a:p>
          <a:pPr algn="l"/>
          <a:r>
            <a:rPr lang="de-DE" sz="800">
              <a:solidFill>
                <a:sysClr val="windowText" lastClr="000000"/>
              </a:solidFill>
            </a:rPr>
            <a:t>CO</a:t>
          </a:r>
          <a:r>
            <a:rPr lang="de-DE" sz="800" baseline="-25000">
              <a:solidFill>
                <a:sysClr val="windowText" lastClr="000000"/>
              </a:solidFill>
            </a:rPr>
            <a:t>2</a:t>
          </a:r>
          <a:r>
            <a:rPr lang="de-DE" sz="800">
              <a:solidFill>
                <a:sysClr val="windowText" lastClr="000000"/>
              </a:solidFill>
            </a:rPr>
            <a:t>-äquivalente Emissionen werden als Gesamtwert</a:t>
          </a:r>
          <a:r>
            <a:rPr lang="de-DE" sz="800" baseline="0">
              <a:solidFill>
                <a:sysClr val="windowText" lastClr="000000"/>
              </a:solidFill>
            </a:rPr>
            <a:t> angegeben in Tonnen [t]. Es liegt eine Betrachtung des Gebäudes auf 50 Jahre zu Grunde, die auch potenziellen Ersatz und Austausch von Bauteilen berücksichtigt.</a:t>
          </a:r>
          <a:endParaRPr lang="de-DE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508906</xdr:colOff>
      <xdr:row>21</xdr:row>
      <xdr:rowOff>28575</xdr:rowOff>
    </xdr:from>
    <xdr:to>
      <xdr:col>8</xdr:col>
      <xdr:colOff>47625</xdr:colOff>
      <xdr:row>26</xdr:row>
      <xdr:rowOff>247650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A1C81337-49E2-4F12-B678-888EEC58DAF3}"/>
            </a:ext>
          </a:extLst>
        </xdr:cNvPr>
        <xdr:cNvSpPr/>
      </xdr:nvSpPr>
      <xdr:spPr>
        <a:xfrm>
          <a:off x="8157481" y="3352800"/>
          <a:ext cx="5148944" cy="1152525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Gebäude je 1m² Netto-Raumfläche</a:t>
          </a:r>
          <a:r>
            <a:rPr lang="de-DE" sz="800" b="1" baseline="0">
              <a:solidFill>
                <a:sysClr val="windowText" lastClr="000000"/>
              </a:solidFill>
            </a:rPr>
            <a:t> (NRF) und je 1 Jahr:</a:t>
          </a:r>
          <a:endParaRPr lang="de-DE" sz="800" b="1">
            <a:solidFill>
              <a:sysClr val="windowText" lastClr="000000"/>
            </a:solidFill>
          </a:endParaRPr>
        </a:p>
        <a:p>
          <a:pPr algn="l"/>
          <a:r>
            <a:rPr lang="de-DE" sz="800">
              <a:solidFill>
                <a:sysClr val="windowText" lastClr="000000"/>
              </a:solidFill>
            </a:rPr>
            <a:t>Ergebnisse der Gebäudeökobilanz werden zur besseren Vergleichbarkeit in der Regel auf eine gemeinsame</a:t>
          </a:r>
          <a:r>
            <a:rPr lang="de-DE" sz="800" baseline="0">
              <a:solidFill>
                <a:sysClr val="windowText" lastClr="000000"/>
              </a:solidFill>
            </a:rPr>
            <a:t> funktionelle Einheit bezogen. Diese leitet sich aus der maßgeblichen Funktin eines Gebäudes (die Flächenbereitstellung) für einen definierten Betrachtungszeitraum (in der Regel 50 Jahre) ab.</a:t>
          </a:r>
        </a:p>
        <a:p>
          <a:pPr algn="l"/>
          <a:r>
            <a:rPr lang="de-DE" sz="800" baseline="0">
              <a:solidFill>
                <a:sysClr val="windowText" lastClr="000000"/>
              </a:solidFill>
            </a:rPr>
            <a:t>Die Ergebnisse der Ökobilanz"Gebäude gesamt über 50 Jahre" werden hierbei auf 1m² Netto-Raumfläche des Gebäudes und ein Jahr des Betrachtungszeitraum linear verteilt. </a:t>
          </a:r>
          <a:endParaRPr lang="de-DE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228600</xdr:colOff>
      <xdr:row>29</xdr:row>
      <xdr:rowOff>57150</xdr:rowOff>
    </xdr:from>
    <xdr:to>
      <xdr:col>1</xdr:col>
      <xdr:colOff>470808</xdr:colOff>
      <xdr:row>29</xdr:row>
      <xdr:rowOff>258537</xdr:rowOff>
    </xdr:to>
    <xdr:sp macro="" textlink="">
      <xdr:nvSpPr>
        <xdr:cNvPr id="12" name="Raute 11">
          <a:extLst>
            <a:ext uri="{FF2B5EF4-FFF2-40B4-BE49-F238E27FC236}">
              <a16:creationId xmlns:a16="http://schemas.microsoft.com/office/drawing/2014/main" id="{8ED31452-FFDA-49B2-9910-45C662FDE728}"/>
            </a:ext>
          </a:extLst>
        </xdr:cNvPr>
        <xdr:cNvSpPr/>
      </xdr:nvSpPr>
      <xdr:spPr>
        <a:xfrm>
          <a:off x="533400" y="5095875"/>
          <a:ext cx="242208" cy="201387"/>
        </a:xfrm>
        <a:prstGeom prst="diamond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512989</xdr:colOff>
      <xdr:row>28</xdr:row>
      <xdr:rowOff>49739</xdr:rowOff>
    </xdr:from>
    <xdr:to>
      <xdr:col>8</xdr:col>
      <xdr:colOff>66675</xdr:colOff>
      <xdr:row>30</xdr:row>
      <xdr:rowOff>9524</xdr:rowOff>
    </xdr:to>
    <xdr:sp macro="" textlink="">
      <xdr:nvSpPr>
        <xdr:cNvPr id="20" name="Rechteck 19">
          <a:extLst>
            <a:ext uri="{FF2B5EF4-FFF2-40B4-BE49-F238E27FC236}">
              <a16:creationId xmlns:a16="http://schemas.microsoft.com/office/drawing/2014/main" id="{683E6816-B5CA-4F50-A1FA-2C0525DBEF6D}"/>
            </a:ext>
          </a:extLst>
        </xdr:cNvPr>
        <xdr:cNvSpPr/>
      </xdr:nvSpPr>
      <xdr:spPr>
        <a:xfrm>
          <a:off x="8161564" y="4774139"/>
          <a:ext cx="5163911" cy="58843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800" b="0">
              <a:solidFill>
                <a:sysClr val="windowText" lastClr="000000"/>
              </a:solidFill>
            </a:rPr>
            <a:t>PV - Photovoltaik</a:t>
          </a:r>
        </a:p>
        <a:p>
          <a:pPr algn="l"/>
          <a:r>
            <a:rPr lang="de-DE" sz="800" b="0">
              <a:solidFill>
                <a:sysClr val="windowText" lastClr="000000"/>
              </a:solidFill>
            </a:rPr>
            <a:t>ST</a:t>
          </a:r>
          <a:r>
            <a:rPr lang="de-DE" sz="800" b="0" baseline="0">
              <a:solidFill>
                <a:sysClr val="windowText" lastClr="000000"/>
              </a:solidFill>
            </a:rPr>
            <a:t> - Solarthermie</a:t>
          </a:r>
        </a:p>
        <a:p>
          <a:pPr algn="l"/>
          <a:r>
            <a:rPr lang="de-DE" sz="800" b="0">
              <a:solidFill>
                <a:sysClr val="windowText" lastClr="000000"/>
              </a:solidFill>
            </a:rPr>
            <a:t>inkl. - inklusive</a:t>
          </a:r>
        </a:p>
        <a:p>
          <a:pPr algn="l"/>
          <a:r>
            <a:rPr lang="de-DE" sz="800" b="0">
              <a:solidFill>
                <a:sysClr val="windowText" lastClr="000000"/>
              </a:solidFill>
            </a:rPr>
            <a:t>exkl. - exklusive</a:t>
          </a:r>
        </a:p>
      </xdr:txBody>
    </xdr:sp>
    <xdr:clientData/>
  </xdr:twoCellAnchor>
  <xdr:twoCellAnchor editAs="oneCell">
    <xdr:from>
      <xdr:col>0</xdr:col>
      <xdr:colOff>292100</xdr:colOff>
      <xdr:row>0</xdr:row>
      <xdr:rowOff>35720</xdr:rowOff>
    </xdr:from>
    <xdr:to>
      <xdr:col>1</xdr:col>
      <xdr:colOff>1470820</xdr:colOff>
      <xdr:row>8</xdr:row>
      <xdr:rowOff>6825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69B58472-F9D7-44E0-A4DB-EB81FC695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226220"/>
          <a:ext cx="1483520" cy="1495105"/>
        </a:xfrm>
        <a:prstGeom prst="rect">
          <a:avLst/>
        </a:prstGeom>
      </xdr:spPr>
    </xdr:pic>
    <xdr:clientData/>
  </xdr:twoCellAnchor>
  <xdr:twoCellAnchor editAs="oneCell">
    <xdr:from>
      <xdr:col>3</xdr:col>
      <xdr:colOff>2516187</xdr:colOff>
      <xdr:row>2</xdr:row>
      <xdr:rowOff>119064</xdr:rowOff>
    </xdr:from>
    <xdr:to>
      <xdr:col>4</xdr:col>
      <xdr:colOff>1828800</xdr:colOff>
      <xdr:row>5</xdr:row>
      <xdr:rowOff>144262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15DA7E6A-3163-4491-9A94-B537DDC8C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4887" y="690564"/>
          <a:ext cx="2122488" cy="596698"/>
        </a:xfrm>
        <a:prstGeom prst="rect">
          <a:avLst/>
        </a:prstGeom>
      </xdr:spPr>
    </xdr:pic>
    <xdr:clientData/>
  </xdr:twoCellAnchor>
  <xdr:twoCellAnchor>
    <xdr:from>
      <xdr:col>3</xdr:col>
      <xdr:colOff>1525699</xdr:colOff>
      <xdr:row>91</xdr:row>
      <xdr:rowOff>139474</xdr:rowOff>
    </xdr:from>
    <xdr:to>
      <xdr:col>6</xdr:col>
      <xdr:colOff>35037</xdr:colOff>
      <xdr:row>96</xdr:row>
      <xdr:rowOff>32316</xdr:rowOff>
    </xdr:to>
    <xdr:sp macro="" textlink="">
      <xdr:nvSpPr>
        <xdr:cNvPr id="23" name="Rechteck 22">
          <a:extLst>
            <a:ext uri="{FF2B5EF4-FFF2-40B4-BE49-F238E27FC236}">
              <a16:creationId xmlns:a16="http://schemas.microsoft.com/office/drawing/2014/main" id="{21044756-8A46-444E-899F-B82608740B67}"/>
            </a:ext>
          </a:extLst>
        </xdr:cNvPr>
        <xdr:cNvSpPr/>
      </xdr:nvSpPr>
      <xdr:spPr>
        <a:xfrm>
          <a:off x="6356235" y="17611045"/>
          <a:ext cx="5163231" cy="845342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800" b="0">
              <a:solidFill>
                <a:sysClr val="windowText" lastClr="000000"/>
              </a:solidFill>
            </a:rPr>
            <a:t>KG - Kostengruppe (gemäß Definition DIN276)</a:t>
          </a:r>
        </a:p>
        <a:p>
          <a:pPr algn="l"/>
          <a:endParaRPr lang="de-DE" sz="800" b="0">
            <a:solidFill>
              <a:sysClr val="windowText" lastClr="000000"/>
            </a:solidFill>
          </a:endParaRPr>
        </a:p>
        <a:p>
          <a:pPr algn="l"/>
          <a:r>
            <a:rPr lang="de-DE" sz="800" b="0" u="sng">
              <a:solidFill>
                <a:sysClr val="windowText" lastClr="000000"/>
              </a:solidFill>
            </a:rPr>
            <a:t>Eigenschaften</a:t>
          </a:r>
          <a:r>
            <a:rPr lang="de-DE" sz="800" b="0" u="sng" baseline="0">
              <a:solidFill>
                <a:sysClr val="windowText" lastClr="000000"/>
              </a:solidFill>
            </a:rPr>
            <a:t> des PEHOBA-Beispielgebäudes</a:t>
          </a:r>
        </a:p>
        <a:p>
          <a:pPr algn="l"/>
          <a:r>
            <a:rPr lang="de-DE" sz="800" b="0" baseline="0">
              <a:solidFill>
                <a:sysClr val="windowText" lastClr="000000"/>
              </a:solidFill>
            </a:rPr>
            <a:t>- Nettoraumfläche mit 788 m²; </a:t>
          </a:r>
        </a:p>
        <a:p>
          <a:pPr algn="l"/>
          <a:r>
            <a:rPr lang="de-DE" sz="800" b="0" baseline="0">
              <a:solidFill>
                <a:sysClr val="windowText" lastClr="000000"/>
              </a:solidFill>
            </a:rPr>
            <a:t>- Energiestandard in Anlehnung an GEG2020; </a:t>
          </a:r>
        </a:p>
        <a:p>
          <a:pPr algn="l"/>
          <a:r>
            <a:rPr lang="de-DE" sz="800" b="0" baseline="0">
              <a:solidFill>
                <a:sysClr val="windowText" lastClr="000000"/>
              </a:solidFill>
            </a:rPr>
            <a:t>- Anforderungen an den Schallschutz nur im MIndeststandard in Anlehnung an DIN 4109</a:t>
          </a:r>
          <a:endParaRPr lang="de-DE" sz="8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1426104</xdr:colOff>
      <xdr:row>117</xdr:row>
      <xdr:rowOff>21167</xdr:rowOff>
    </xdr:from>
    <xdr:to>
      <xdr:col>5</xdr:col>
      <xdr:colOff>686103</xdr:colOff>
      <xdr:row>120</xdr:row>
      <xdr:rowOff>31750</xdr:rowOff>
    </xdr:to>
    <xdr:sp macro="" textlink="">
      <xdr:nvSpPr>
        <xdr:cNvPr id="24" name="Rechteck 23">
          <a:extLst>
            <a:ext uri="{FF2B5EF4-FFF2-40B4-BE49-F238E27FC236}">
              <a16:creationId xmlns:a16="http://schemas.microsoft.com/office/drawing/2014/main" id="{62AEB819-CE48-4D29-A81D-C2D55A6A84AD}"/>
            </a:ext>
          </a:extLst>
        </xdr:cNvPr>
        <xdr:cNvSpPr/>
      </xdr:nvSpPr>
      <xdr:spPr>
        <a:xfrm>
          <a:off x="6267979" y="22277917"/>
          <a:ext cx="4228874" cy="582083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800" b="0">
              <a:solidFill>
                <a:sysClr val="windowText" lastClr="000000"/>
              </a:solidFill>
            </a:rPr>
            <a:t>pot.</a:t>
          </a:r>
          <a:r>
            <a:rPr lang="de-DE" sz="800" b="0" baseline="0">
              <a:solidFill>
                <a:sysClr val="windowText" lastClr="000000"/>
              </a:solidFill>
            </a:rPr>
            <a:t> Gutschrift aus PV - potenziielle Gutschrift aus der Nutzung von Photovoltaik; es wird der deutsche Strom-Mix angesetzt. </a:t>
          </a:r>
          <a:endParaRPr lang="de-DE" sz="8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Fraunhofer">
      <a:dk1>
        <a:srgbClr val="000000"/>
      </a:dk1>
      <a:lt1>
        <a:srgbClr val="FFFFFF"/>
      </a:lt1>
      <a:dk2>
        <a:srgbClr val="179C7D"/>
      </a:dk2>
      <a:lt2>
        <a:srgbClr val="A8AFAF"/>
      </a:lt2>
      <a:accent1>
        <a:srgbClr val="EB6A0A"/>
      </a:accent1>
      <a:accent2>
        <a:srgbClr val="006E92"/>
      </a:accent2>
      <a:accent3>
        <a:srgbClr val="25BAE2"/>
      </a:accent3>
      <a:accent4>
        <a:srgbClr val="B1C800"/>
      </a:accent4>
      <a:accent5>
        <a:srgbClr val="FEEFD6"/>
      </a:accent5>
      <a:accent6>
        <a:srgbClr val="E1E3E3"/>
      </a:accent6>
      <a:hlink>
        <a:srgbClr val="25BAE2"/>
      </a:hlink>
      <a:folHlink>
        <a:srgbClr val="006E92"/>
      </a:folHlink>
    </a:clrScheme>
    <a:fontScheme name="FhG">
      <a:majorFont>
        <a:latin typeface="Frutiger 45 Light"/>
        <a:ea typeface="MS Gothic"/>
        <a:cs typeface=""/>
      </a:majorFont>
      <a:minorFont>
        <a:latin typeface="Frutiger 45 Light"/>
        <a:ea typeface="MS Gothic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74D2-B74F-4131-80EC-AC4A779931DC}">
  <sheetPr>
    <tabColor theme="1"/>
  </sheetPr>
  <dimension ref="B9:K17"/>
  <sheetViews>
    <sheetView view="pageBreakPreview" zoomScale="90" zoomScaleNormal="100" zoomScaleSheetLayoutView="90" workbookViewId="0">
      <selection activeCell="K22" sqref="K22"/>
    </sheetView>
  </sheetViews>
  <sheetFormatPr baseColWidth="10" defaultRowHeight="16.5" x14ac:dyDescent="0.3"/>
  <cols>
    <col min="1" max="1" width="2.75" style="13" customWidth="1"/>
    <col min="2" max="11" width="11" style="13"/>
    <col min="12" max="12" width="3.25" style="13" customWidth="1"/>
    <col min="13" max="16384" width="11" style="13"/>
  </cols>
  <sheetData>
    <row r="9" spans="2:11" ht="18.75" x14ac:dyDescent="0.3">
      <c r="B9" s="164" t="s">
        <v>278</v>
      </c>
      <c r="C9" s="164"/>
      <c r="D9" s="164"/>
      <c r="E9" s="164"/>
      <c r="F9" s="164"/>
      <c r="G9" s="164"/>
      <c r="H9" s="164"/>
      <c r="I9" s="164"/>
      <c r="J9" s="164"/>
      <c r="K9" s="164"/>
    </row>
    <row r="10" spans="2:11" ht="17.25" thickBot="1" x14ac:dyDescent="0.35"/>
    <row r="11" spans="2:11" ht="17.25" customHeight="1" x14ac:dyDescent="0.3">
      <c r="B11" s="16" t="s">
        <v>263</v>
      </c>
      <c r="C11" s="14"/>
      <c r="D11" s="14"/>
      <c r="E11" s="14"/>
      <c r="F11" s="14"/>
      <c r="G11" s="14"/>
      <c r="H11" s="14"/>
      <c r="I11" s="14"/>
      <c r="J11" s="14"/>
      <c r="K11" s="15"/>
    </row>
    <row r="12" spans="2:11" ht="324" customHeight="1" thickBot="1" x14ac:dyDescent="0.35">
      <c r="B12" s="161" t="s">
        <v>265</v>
      </c>
      <c r="C12" s="162"/>
      <c r="D12" s="162"/>
      <c r="E12" s="162"/>
      <c r="F12" s="162"/>
      <c r="G12" s="162"/>
      <c r="H12" s="162"/>
      <c r="I12" s="162"/>
      <c r="J12" s="162"/>
      <c r="K12" s="163"/>
    </row>
    <row r="13" spans="2:11" s="17" customFormat="1" ht="13.5" x14ac:dyDescent="0.25"/>
    <row r="14" spans="2:11" s="19" customFormat="1" ht="16.5" customHeight="1" x14ac:dyDescent="0.25">
      <c r="B14" s="18" t="s">
        <v>264</v>
      </c>
    </row>
    <row r="15" spans="2:11" s="17" customFormat="1" ht="17.25" customHeight="1" x14ac:dyDescent="0.25">
      <c r="B15" s="17" t="s">
        <v>259</v>
      </c>
      <c r="D15" s="17" t="s">
        <v>260</v>
      </c>
    </row>
    <row r="16" spans="2:11" s="17" customFormat="1" ht="13.5" x14ac:dyDescent="0.25">
      <c r="B16" s="17" t="s">
        <v>261</v>
      </c>
      <c r="D16" s="17" t="s">
        <v>262</v>
      </c>
    </row>
    <row r="17" s="17" customFormat="1" ht="13.5" x14ac:dyDescent="0.25"/>
  </sheetData>
  <sheetProtection algorithmName="SHA-512" hashValue="grRctTOyxjrOhNZkS+CcO4Bcm0Q0l5qqk/xBmRGbzzf3uMwBimvqU2ucWIm403/qevhlTmNrU+GJW5Szp9l4Gw==" saltValue="SHn5cmFgSd/KxJnfvIQuDA==" spinCount="100000" sheet="1" objects="1" scenarios="1" selectLockedCells="1" selectUnlockedCells="1"/>
  <mergeCells count="2">
    <mergeCell ref="B12:K12"/>
    <mergeCell ref="B9:K9"/>
  </mergeCells>
  <pageMargins left="0.7" right="0.7" top="0.78740157499999996" bottom="0.78740157499999996" header="0.3" footer="0.3"/>
  <pageSetup paperSize="9" scale="56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E073-DB45-4C52-8432-D732E374E2D7}">
  <sheetPr>
    <tabColor theme="1"/>
  </sheetPr>
  <dimension ref="B9:K17"/>
  <sheetViews>
    <sheetView view="pageBreakPreview" topLeftCell="A2" zoomScaleNormal="100" zoomScaleSheetLayoutView="100" workbookViewId="0">
      <selection activeCell="D15" sqref="D15"/>
    </sheetView>
  </sheetViews>
  <sheetFormatPr baseColWidth="10" defaultRowHeight="16.5" x14ac:dyDescent="0.3"/>
  <cols>
    <col min="1" max="1" width="2.75" style="13" customWidth="1"/>
    <col min="2" max="11" width="11" style="13"/>
    <col min="12" max="12" width="3.25" style="13" customWidth="1"/>
    <col min="13" max="16384" width="11" style="13"/>
  </cols>
  <sheetData>
    <row r="9" spans="2:11" ht="18.75" x14ac:dyDescent="0.3">
      <c r="B9" s="164" t="s">
        <v>278</v>
      </c>
      <c r="C9" s="164"/>
      <c r="D9" s="164"/>
      <c r="E9" s="164"/>
      <c r="F9" s="164"/>
      <c r="G9" s="164"/>
      <c r="H9" s="164"/>
      <c r="I9" s="164"/>
      <c r="J9" s="164"/>
      <c r="K9" s="164"/>
    </row>
    <row r="10" spans="2:11" ht="17.25" thickBot="1" x14ac:dyDescent="0.35"/>
    <row r="11" spans="2:11" ht="17.25" customHeight="1" x14ac:dyDescent="0.3">
      <c r="B11" s="16" t="s">
        <v>267</v>
      </c>
      <c r="C11" s="14"/>
      <c r="D11" s="14"/>
      <c r="E11" s="14"/>
      <c r="F11" s="14"/>
      <c r="G11" s="14"/>
      <c r="H11" s="14"/>
      <c r="I11" s="14"/>
      <c r="J11" s="14"/>
      <c r="K11" s="15"/>
    </row>
    <row r="12" spans="2:11" ht="324" customHeight="1" thickBot="1" x14ac:dyDescent="0.35">
      <c r="B12" s="161"/>
      <c r="C12" s="162"/>
      <c r="D12" s="162"/>
      <c r="E12" s="162"/>
      <c r="F12" s="162"/>
      <c r="G12" s="162"/>
      <c r="H12" s="162"/>
      <c r="I12" s="162"/>
      <c r="J12" s="162"/>
      <c r="K12" s="163"/>
    </row>
    <row r="13" spans="2:11" s="17" customFormat="1" ht="13.5" x14ac:dyDescent="0.25"/>
    <row r="14" spans="2:11" s="19" customFormat="1" ht="16.5" customHeight="1" x14ac:dyDescent="0.25">
      <c r="B14" s="18"/>
    </row>
    <row r="15" spans="2:11" s="17" customFormat="1" ht="17.25" customHeight="1" x14ac:dyDescent="0.25"/>
    <row r="16" spans="2:11" s="17" customFormat="1" ht="13.5" x14ac:dyDescent="0.25"/>
    <row r="17" s="17" customFormat="1" ht="13.5" x14ac:dyDescent="0.25"/>
  </sheetData>
  <sheetProtection algorithmName="SHA-512" hashValue="fj1hlW/uhuCYdk0mR8UcbqlMuZEjOxQ6blNJ9/zU2yBfqB8f0r67pKVQKJyHt3oS0CI2Xa1pHIpd63asuwPOew==" saltValue="Y+ksQsA4zuxc++rvy43/Wg==" spinCount="100000" sheet="1" objects="1" scenarios="1" selectLockedCells="1" selectUnlockedCells="1"/>
  <mergeCells count="2">
    <mergeCell ref="B12:K12"/>
    <mergeCell ref="B9:K9"/>
  </mergeCells>
  <pageMargins left="0.7" right="0.7" top="0.78740157499999996" bottom="0.78740157499999996" header="0.3" footer="0.3"/>
  <pageSetup paperSize="9" scale="56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7" tint="0.79998168889431442"/>
  </sheetPr>
  <dimension ref="A1:V137"/>
  <sheetViews>
    <sheetView view="pageBreakPreview" zoomScale="80" zoomScaleNormal="70" zoomScaleSheetLayoutView="80" workbookViewId="0">
      <selection activeCell="G48" sqref="G48"/>
    </sheetView>
  </sheetViews>
  <sheetFormatPr baseColWidth="10" defaultColWidth="11" defaultRowHeight="15" x14ac:dyDescent="0.25"/>
  <cols>
    <col min="1" max="1" width="4.5" style="4" customWidth="1"/>
    <col min="2" max="2" width="32.75" style="1" customWidth="1"/>
    <col min="3" max="3" width="17.875" style="1" customWidth="1"/>
    <col min="4" max="4" width="8.25" style="1" customWidth="1"/>
    <col min="5" max="5" width="6.125" style="1" customWidth="1"/>
    <col min="6" max="6" width="32.75" style="1" customWidth="1"/>
    <col min="7" max="7" width="17.875" style="1" customWidth="1"/>
    <col min="8" max="8" width="8.25" style="1" customWidth="1"/>
    <col min="9" max="9" width="5.875" style="1" customWidth="1"/>
    <col min="10" max="10" width="9.75" style="1" customWidth="1"/>
    <col min="11" max="11" width="11" style="1"/>
    <col min="12" max="12" width="22.625" style="1" customWidth="1"/>
    <col min="13" max="13" width="7.625" style="1" customWidth="1"/>
    <col min="14" max="14" width="19.5" style="1" customWidth="1"/>
    <col min="15" max="15" width="21.875" style="1" customWidth="1"/>
    <col min="16" max="16" width="12.625" style="1" customWidth="1"/>
    <col min="17" max="17" width="12.875" style="2" customWidth="1"/>
    <col min="18" max="19" width="11" style="1"/>
    <col min="20" max="20" width="20.375" style="1" customWidth="1"/>
    <col min="21" max="16384" width="11" style="1"/>
  </cols>
  <sheetData>
    <row r="1" spans="2:17" s="4" customFormat="1" x14ac:dyDescent="0.25">
      <c r="Q1" s="3"/>
    </row>
    <row r="2" spans="2:17" s="4" customFormat="1" x14ac:dyDescent="0.25">
      <c r="Q2" s="3"/>
    </row>
    <row r="3" spans="2:17" s="4" customFormat="1" x14ac:dyDescent="0.25">
      <c r="Q3" s="3"/>
    </row>
    <row r="4" spans="2:17" s="4" customFormat="1" x14ac:dyDescent="0.25">
      <c r="Q4" s="3"/>
    </row>
    <row r="5" spans="2:17" s="4" customFormat="1" x14ac:dyDescent="0.25">
      <c r="Q5" s="3"/>
    </row>
    <row r="6" spans="2:17" s="4" customFormat="1" x14ac:dyDescent="0.25">
      <c r="Q6" s="3"/>
    </row>
    <row r="7" spans="2:17" s="4" customFormat="1" x14ac:dyDescent="0.25">
      <c r="Q7" s="3"/>
    </row>
    <row r="8" spans="2:17" s="4" customFormat="1" x14ac:dyDescent="0.25">
      <c r="Q8" s="3"/>
    </row>
    <row r="9" spans="2:17" s="4" customFormat="1" ht="18.75" x14ac:dyDescent="0.3">
      <c r="B9" s="164" t="s">
        <v>278</v>
      </c>
      <c r="C9" s="164"/>
      <c r="D9" s="164"/>
      <c r="E9" s="164"/>
      <c r="F9" s="164"/>
      <c r="G9" s="164"/>
      <c r="H9" s="164"/>
      <c r="Q9" s="3"/>
    </row>
    <row r="10" spans="2:17" s="51" customFormat="1" ht="13.5" thickBot="1" x14ac:dyDescent="0.3">
      <c r="Q10" s="52"/>
    </row>
    <row r="11" spans="2:17" s="20" customFormat="1" ht="12.75" thickBot="1" x14ac:dyDescent="0.25">
      <c r="B11" s="56" t="s">
        <v>268</v>
      </c>
      <c r="Q11" s="21"/>
    </row>
    <row r="12" spans="2:17" s="20" customFormat="1" ht="12.75" thickBot="1" x14ac:dyDescent="0.25">
      <c r="B12" s="60" t="s">
        <v>189</v>
      </c>
      <c r="Q12" s="21"/>
    </row>
    <row r="13" spans="2:17" s="20" customFormat="1" ht="12.75" thickBot="1" x14ac:dyDescent="0.25">
      <c r="B13" s="22" t="s">
        <v>266</v>
      </c>
      <c r="Q13" s="21"/>
    </row>
    <row r="14" spans="2:17" s="20" customFormat="1" ht="12" x14ac:dyDescent="0.2">
      <c r="Q14" s="21"/>
    </row>
    <row r="15" spans="2:17" s="38" customFormat="1" ht="12" x14ac:dyDescent="0.2">
      <c r="B15" s="24" t="s">
        <v>150</v>
      </c>
      <c r="C15" s="24"/>
      <c r="D15" s="24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Q15" s="59"/>
    </row>
    <row r="16" spans="2:17" s="20" customFormat="1" ht="12" x14ac:dyDescent="0.2">
      <c r="B16" s="25"/>
      <c r="Q16" s="21"/>
    </row>
    <row r="17" spans="2:21" s="20" customFormat="1" ht="12" x14ac:dyDescent="0.2">
      <c r="B17" s="26" t="s">
        <v>212</v>
      </c>
      <c r="C17" s="27"/>
      <c r="D17" s="27"/>
      <c r="Q17" s="21"/>
    </row>
    <row r="18" spans="2:21" s="20" customFormat="1" ht="12.75" thickBot="1" x14ac:dyDescent="0.25">
      <c r="B18" s="25"/>
      <c r="Q18" s="21"/>
    </row>
    <row r="19" spans="2:21" s="20" customFormat="1" ht="12.75" thickBot="1" x14ac:dyDescent="0.25">
      <c r="B19" s="25" t="s">
        <v>231</v>
      </c>
      <c r="C19" s="141" t="s">
        <v>210</v>
      </c>
      <c r="Q19" s="21"/>
    </row>
    <row r="20" spans="2:21" s="20" customFormat="1" ht="12" x14ac:dyDescent="0.2">
      <c r="B20" s="28" t="s">
        <v>245</v>
      </c>
      <c r="C20" s="29" t="str">
        <f>Hintergrund!E6</f>
        <v>Gebäudekonstruktion und Gebäudebetrieb</v>
      </c>
      <c r="Q20" s="21"/>
    </row>
    <row r="21" spans="2:21" s="20" customFormat="1" ht="12.75" thickBot="1" x14ac:dyDescent="0.25">
      <c r="B21" s="25"/>
      <c r="Q21" s="21"/>
    </row>
    <row r="22" spans="2:21" s="20" customFormat="1" ht="12.75" thickBot="1" x14ac:dyDescent="0.25">
      <c r="B22" s="25" t="s">
        <v>214</v>
      </c>
      <c r="C22" s="142">
        <v>1000</v>
      </c>
      <c r="D22" s="30" t="s">
        <v>69</v>
      </c>
      <c r="Q22" s="21"/>
    </row>
    <row r="23" spans="2:21" s="20" customFormat="1" ht="12" x14ac:dyDescent="0.2">
      <c r="B23" s="28" t="s">
        <v>207</v>
      </c>
      <c r="C23" s="31">
        <v>788</v>
      </c>
      <c r="D23" s="32" t="s">
        <v>69</v>
      </c>
      <c r="Q23" s="21"/>
    </row>
    <row r="24" spans="2:21" s="20" customFormat="1" ht="12.75" thickBot="1" x14ac:dyDescent="0.25">
      <c r="B24" s="25"/>
      <c r="Q24" s="21"/>
    </row>
    <row r="25" spans="2:21" s="20" customFormat="1" ht="12.75" thickBot="1" x14ac:dyDescent="0.25">
      <c r="B25" s="25" t="s">
        <v>213</v>
      </c>
      <c r="C25" s="143">
        <v>15</v>
      </c>
      <c r="D25" s="33" t="s">
        <v>70</v>
      </c>
      <c r="Q25" s="21"/>
    </row>
    <row r="26" spans="2:21" s="20" customFormat="1" ht="12" x14ac:dyDescent="0.2">
      <c r="B26" s="28" t="s">
        <v>207</v>
      </c>
      <c r="C26" s="29">
        <v>27</v>
      </c>
      <c r="D26" s="29" t="s">
        <v>70</v>
      </c>
      <c r="Q26" s="21"/>
    </row>
    <row r="27" spans="2:21" s="20" customFormat="1" ht="12.75" thickBot="1" x14ac:dyDescent="0.25">
      <c r="B27" s="25"/>
      <c r="Q27" s="21"/>
    </row>
    <row r="28" spans="2:21" s="20" customFormat="1" ht="12.75" thickBot="1" x14ac:dyDescent="0.25">
      <c r="B28" s="39" t="s">
        <v>257</v>
      </c>
      <c r="C28" s="144">
        <f>Hintergrund!B35</f>
        <v>1000</v>
      </c>
      <c r="D28" s="33" t="s">
        <v>69</v>
      </c>
      <c r="Q28" s="21"/>
    </row>
    <row r="29" spans="2:21" s="20" customFormat="1" ht="12" x14ac:dyDescent="0.2">
      <c r="B29" s="25"/>
      <c r="Q29" s="21"/>
    </row>
    <row r="30" spans="2:21" s="20" customFormat="1" ht="12" x14ac:dyDescent="0.2">
      <c r="B30" s="34" t="s">
        <v>42</v>
      </c>
      <c r="C30" s="35"/>
      <c r="D30" s="35"/>
      <c r="F30" s="36" t="s">
        <v>43</v>
      </c>
      <c r="G30" s="36"/>
      <c r="H30" s="37"/>
      <c r="O30" s="165"/>
      <c r="P30" s="165"/>
      <c r="Q30" s="21"/>
      <c r="T30" s="165"/>
      <c r="U30" s="165"/>
    </row>
    <row r="31" spans="2:21" s="20" customFormat="1" ht="12" x14ac:dyDescent="0.2">
      <c r="Q31" s="21"/>
    </row>
    <row r="32" spans="2:21" s="20" customFormat="1" ht="12" x14ac:dyDescent="0.2">
      <c r="B32" s="39" t="s">
        <v>44</v>
      </c>
      <c r="C32" s="28"/>
      <c r="D32" s="33"/>
      <c r="E32" s="28"/>
      <c r="F32" s="39" t="s">
        <v>44</v>
      </c>
      <c r="O32" s="25"/>
    </row>
    <row r="33" spans="2:22" s="20" customFormat="1" ht="12.75" thickBot="1" x14ac:dyDescent="0.25">
      <c r="B33" s="33"/>
      <c r="C33" s="28"/>
      <c r="D33" s="33"/>
      <c r="E33" s="40"/>
    </row>
    <row r="34" spans="2:22" s="20" customFormat="1" ht="12.75" thickBot="1" x14ac:dyDescent="0.25">
      <c r="B34" s="20" t="s">
        <v>222</v>
      </c>
      <c r="C34" s="145" t="s">
        <v>21</v>
      </c>
      <c r="D34" s="40"/>
      <c r="E34" s="41"/>
      <c r="F34" s="20" t="s">
        <v>243</v>
      </c>
      <c r="G34" s="146" t="s">
        <v>224</v>
      </c>
      <c r="M34" s="42"/>
      <c r="N34" s="43"/>
      <c r="O34" s="25"/>
    </row>
    <row r="35" spans="2:22" s="20" customFormat="1" ht="12" x14ac:dyDescent="0.2">
      <c r="B35" s="44" t="s">
        <v>221</v>
      </c>
      <c r="C35" s="40"/>
      <c r="D35" s="40"/>
      <c r="E35" s="45"/>
      <c r="F35" s="28" t="s">
        <v>207</v>
      </c>
      <c r="G35" s="46" t="s">
        <v>208</v>
      </c>
    </row>
    <row r="36" spans="2:22" s="20" customFormat="1" ht="12.75" thickBot="1" x14ac:dyDescent="0.25">
      <c r="B36" s="44"/>
      <c r="C36" s="40"/>
      <c r="D36" s="40"/>
      <c r="E36" s="41"/>
      <c r="F36" s="41"/>
      <c r="G36" s="41"/>
      <c r="H36" s="41"/>
      <c r="M36" s="42"/>
      <c r="N36" s="43"/>
      <c r="Q36" s="21"/>
    </row>
    <row r="37" spans="2:22" s="20" customFormat="1" ht="12.75" thickBot="1" x14ac:dyDescent="0.25">
      <c r="B37" s="33" t="s">
        <v>223</v>
      </c>
      <c r="C37" s="145" t="s">
        <v>27</v>
      </c>
      <c r="D37" s="40"/>
      <c r="E37" s="45"/>
      <c r="F37" s="20" t="s">
        <v>235</v>
      </c>
      <c r="G37" s="147">
        <v>13000</v>
      </c>
      <c r="H37" s="20" t="s">
        <v>20</v>
      </c>
      <c r="Q37" s="21"/>
    </row>
    <row r="38" spans="2:22" s="20" customFormat="1" ht="12" x14ac:dyDescent="0.2">
      <c r="B38" s="44" t="s">
        <v>249</v>
      </c>
      <c r="C38" s="40"/>
      <c r="D38" s="40"/>
      <c r="E38" s="41"/>
      <c r="F38" s="28" t="s">
        <v>207</v>
      </c>
      <c r="G38" s="47">
        <f>Hintergrund!C23</f>
        <v>16800</v>
      </c>
      <c r="H38" s="44" t="s">
        <v>20</v>
      </c>
      <c r="M38" s="42"/>
      <c r="N38" s="42"/>
      <c r="Q38" s="21"/>
    </row>
    <row r="39" spans="2:22" s="20" customFormat="1" ht="12.75" thickBot="1" x14ac:dyDescent="0.25">
      <c r="B39" s="44"/>
      <c r="C39" s="40"/>
      <c r="D39" s="40"/>
      <c r="E39" s="45"/>
      <c r="Q39" s="21"/>
    </row>
    <row r="40" spans="2:22" s="20" customFormat="1" ht="12.75" thickBot="1" x14ac:dyDescent="0.25">
      <c r="B40" s="33" t="s">
        <v>252</v>
      </c>
      <c r="C40" s="145" t="s">
        <v>29</v>
      </c>
      <c r="D40" s="40"/>
      <c r="E40" s="48"/>
      <c r="F40" s="20" t="s">
        <v>236</v>
      </c>
      <c r="G40" s="147">
        <v>7500</v>
      </c>
      <c r="H40" s="20" t="s">
        <v>20</v>
      </c>
      <c r="Q40" s="21"/>
    </row>
    <row r="41" spans="2:22" s="20" customFormat="1" ht="12" x14ac:dyDescent="0.2">
      <c r="B41" s="44" t="s">
        <v>253</v>
      </c>
      <c r="C41" s="40"/>
      <c r="D41" s="40"/>
      <c r="E41" s="45"/>
      <c r="F41" s="28" t="s">
        <v>207</v>
      </c>
      <c r="G41" s="47">
        <f>Hintergrund!C25</f>
        <v>16000</v>
      </c>
      <c r="H41" s="44" t="s">
        <v>20</v>
      </c>
      <c r="Q41" s="21"/>
    </row>
    <row r="42" spans="2:22" s="20" customFormat="1" ht="12" x14ac:dyDescent="0.2">
      <c r="B42" s="39"/>
      <c r="C42" s="33"/>
      <c r="D42" s="33"/>
      <c r="Q42" s="21"/>
    </row>
    <row r="43" spans="2:22" s="20" customFormat="1" ht="12" x14ac:dyDescent="0.2">
      <c r="C43" s="33"/>
      <c r="D43" s="33"/>
      <c r="F43" s="39" t="s">
        <v>45</v>
      </c>
      <c r="M43" s="42"/>
      <c r="O43" s="25"/>
      <c r="P43" s="49"/>
      <c r="Q43" s="21"/>
      <c r="T43" s="25"/>
      <c r="U43" s="50"/>
      <c r="V43" s="21"/>
    </row>
    <row r="44" spans="2:22" s="20" customFormat="1" ht="12" x14ac:dyDescent="0.2">
      <c r="C44" s="33"/>
      <c r="D44" s="33"/>
      <c r="M44" s="42"/>
      <c r="Q44" s="21"/>
    </row>
    <row r="45" spans="2:22" s="20" customFormat="1" ht="12.75" thickBot="1" x14ac:dyDescent="0.25">
      <c r="C45" s="33"/>
      <c r="D45" s="33"/>
      <c r="F45" s="20" t="s">
        <v>250</v>
      </c>
      <c r="G45" s="45" t="s">
        <v>51</v>
      </c>
      <c r="M45" s="42"/>
      <c r="O45" s="25"/>
      <c r="P45" s="49"/>
      <c r="Q45" s="21"/>
      <c r="R45" s="21"/>
      <c r="T45" s="25"/>
      <c r="U45" s="50"/>
      <c r="V45" s="21"/>
    </row>
    <row r="46" spans="2:22" s="20" customFormat="1" ht="12.75" thickBot="1" x14ac:dyDescent="0.25">
      <c r="C46" s="33"/>
      <c r="D46" s="33"/>
      <c r="F46" s="20" t="s">
        <v>234</v>
      </c>
      <c r="G46" s="143">
        <v>15</v>
      </c>
      <c r="H46" s="20" t="s">
        <v>69</v>
      </c>
      <c r="Q46" s="21"/>
      <c r="R46" s="21"/>
    </row>
    <row r="47" spans="2:22" s="20" customFormat="1" ht="12.75" thickBot="1" x14ac:dyDescent="0.25">
      <c r="F47" s="28" t="s">
        <v>207</v>
      </c>
      <c r="G47" s="46" t="s">
        <v>208</v>
      </c>
      <c r="O47" s="25"/>
      <c r="P47" s="49"/>
      <c r="Q47" s="21"/>
      <c r="R47" s="21"/>
      <c r="T47" s="25"/>
      <c r="U47" s="50"/>
      <c r="V47" s="21"/>
    </row>
    <row r="48" spans="2:22" s="20" customFormat="1" ht="12.75" thickBot="1" x14ac:dyDescent="0.25">
      <c r="F48" s="28" t="s">
        <v>269</v>
      </c>
      <c r="G48" s="148">
        <f>Hintergrund!G25</f>
        <v>1510.2083333333333</v>
      </c>
      <c r="H48" s="20" t="s">
        <v>20</v>
      </c>
      <c r="O48" s="25"/>
      <c r="P48" s="49"/>
      <c r="Q48" s="21"/>
      <c r="R48" s="21"/>
      <c r="T48" s="25"/>
      <c r="U48" s="50"/>
      <c r="V48" s="21"/>
    </row>
    <row r="49" spans="2:22" s="20" customFormat="1" ht="12" x14ac:dyDescent="0.2">
      <c r="B49" s="21"/>
      <c r="C49" s="21"/>
      <c r="D49" s="21"/>
      <c r="Q49" s="21"/>
    </row>
    <row r="50" spans="2:22" s="20" customFormat="1" ht="12.75" thickBot="1" x14ac:dyDescent="0.25">
      <c r="E50" s="21"/>
      <c r="F50" s="20" t="s">
        <v>251</v>
      </c>
      <c r="G50" s="45" t="s">
        <v>242</v>
      </c>
      <c r="J50" s="21"/>
      <c r="K50" s="21"/>
      <c r="L50" s="21"/>
      <c r="M50" s="21"/>
      <c r="N50" s="21"/>
      <c r="Q50" s="21"/>
    </row>
    <row r="51" spans="2:22" s="20" customFormat="1" ht="12.75" thickBot="1" x14ac:dyDescent="0.25">
      <c r="F51" s="20" t="s">
        <v>234</v>
      </c>
      <c r="G51" s="143">
        <v>15</v>
      </c>
      <c r="H51" s="20" t="s">
        <v>69</v>
      </c>
      <c r="O51" s="25"/>
      <c r="Q51" s="21"/>
      <c r="T51" s="25"/>
    </row>
    <row r="52" spans="2:22" s="20" customFormat="1" ht="12.75" thickBot="1" x14ac:dyDescent="0.25">
      <c r="F52" s="28" t="s">
        <v>207</v>
      </c>
      <c r="G52" s="46" t="s">
        <v>208</v>
      </c>
      <c r="O52" s="25"/>
      <c r="Q52" s="21"/>
      <c r="T52" s="25"/>
    </row>
    <row r="53" spans="2:22" s="51" customFormat="1" ht="13.5" thickBot="1" x14ac:dyDescent="0.3">
      <c r="F53" s="28" t="s">
        <v>272</v>
      </c>
      <c r="G53" s="148">
        <f>Hintergrund!G31</f>
        <v>6045</v>
      </c>
      <c r="H53" s="20" t="s">
        <v>20</v>
      </c>
      <c r="O53" s="53"/>
      <c r="P53" s="54"/>
      <c r="Q53" s="52"/>
      <c r="T53" s="53"/>
      <c r="U53" s="55"/>
      <c r="V53" s="52"/>
    </row>
    <row r="54" spans="2:22" s="51" customFormat="1" ht="12.75" x14ac:dyDescent="0.25">
      <c r="O54" s="53"/>
      <c r="P54" s="54"/>
      <c r="Q54" s="52"/>
      <c r="R54" s="52"/>
      <c r="T54" s="53"/>
      <c r="U54" s="55"/>
      <c r="V54" s="52"/>
    </row>
    <row r="55" spans="2:22" s="51" customFormat="1" ht="12.75" x14ac:dyDescent="0.25">
      <c r="Q55" s="52"/>
    </row>
    <row r="56" spans="2:22" s="51" customFormat="1" ht="12.75" x14ac:dyDescent="0.25">
      <c r="Q56" s="52"/>
    </row>
    <row r="57" spans="2:22" s="51" customFormat="1" ht="12.75" x14ac:dyDescent="0.25">
      <c r="Q57" s="52"/>
    </row>
    <row r="58" spans="2:22" s="51" customFormat="1" ht="12.75" x14ac:dyDescent="0.25">
      <c r="Q58" s="52"/>
    </row>
    <row r="59" spans="2:22" s="51" customFormat="1" ht="12.75" x14ac:dyDescent="0.25">
      <c r="Q59" s="52"/>
    </row>
    <row r="60" spans="2:22" s="51" customFormat="1" ht="12.75" x14ac:dyDescent="0.25">
      <c r="Q60" s="52"/>
    </row>
    <row r="61" spans="2:22" s="51" customFormat="1" ht="12.75" x14ac:dyDescent="0.25">
      <c r="Q61" s="52"/>
    </row>
    <row r="62" spans="2:22" s="51" customFormat="1" ht="12.75" x14ac:dyDescent="0.25">
      <c r="Q62" s="52"/>
    </row>
    <row r="63" spans="2:22" s="51" customFormat="1" ht="12.75" x14ac:dyDescent="0.25">
      <c r="Q63" s="52"/>
    </row>
    <row r="64" spans="2:22" s="51" customFormat="1" ht="12.75" x14ac:dyDescent="0.25">
      <c r="Q64" s="52"/>
    </row>
    <row r="65" spans="17:17" s="51" customFormat="1" ht="12.75" x14ac:dyDescent="0.25">
      <c r="Q65" s="52"/>
    </row>
    <row r="66" spans="17:17" s="51" customFormat="1" ht="12.75" x14ac:dyDescent="0.25">
      <c r="Q66" s="52"/>
    </row>
    <row r="67" spans="17:17" s="51" customFormat="1" ht="12.75" x14ac:dyDescent="0.25">
      <c r="Q67" s="52"/>
    </row>
    <row r="68" spans="17:17" s="51" customFormat="1" ht="12.75" x14ac:dyDescent="0.25">
      <c r="Q68" s="52"/>
    </row>
    <row r="69" spans="17:17" s="51" customFormat="1" ht="12.75" x14ac:dyDescent="0.25">
      <c r="Q69" s="52"/>
    </row>
    <row r="70" spans="17:17" s="51" customFormat="1" ht="12.75" x14ac:dyDescent="0.25">
      <c r="Q70" s="52"/>
    </row>
    <row r="71" spans="17:17" s="51" customFormat="1" ht="12.75" x14ac:dyDescent="0.25">
      <c r="Q71" s="52"/>
    </row>
    <row r="72" spans="17:17" s="51" customFormat="1" ht="12.75" x14ac:dyDescent="0.25">
      <c r="Q72" s="52"/>
    </row>
    <row r="73" spans="17:17" s="51" customFormat="1" ht="12.75" x14ac:dyDescent="0.25">
      <c r="Q73" s="52"/>
    </row>
    <row r="74" spans="17:17" s="51" customFormat="1" ht="12.75" x14ac:dyDescent="0.25">
      <c r="Q74" s="52"/>
    </row>
    <row r="75" spans="17:17" s="51" customFormat="1" ht="12.75" x14ac:dyDescent="0.25">
      <c r="Q75" s="52"/>
    </row>
    <row r="76" spans="17:17" s="51" customFormat="1" ht="12.75" x14ac:dyDescent="0.25">
      <c r="Q76" s="52"/>
    </row>
    <row r="77" spans="17:17" s="51" customFormat="1" ht="12.75" x14ac:dyDescent="0.25">
      <c r="Q77" s="52"/>
    </row>
    <row r="78" spans="17:17" s="51" customFormat="1" ht="12.75" x14ac:dyDescent="0.25">
      <c r="Q78" s="52"/>
    </row>
    <row r="79" spans="17:17" s="51" customFormat="1" ht="12.75" x14ac:dyDescent="0.25">
      <c r="Q79" s="52"/>
    </row>
    <row r="80" spans="17:17" s="51" customFormat="1" ht="12.75" x14ac:dyDescent="0.25">
      <c r="Q80" s="52"/>
    </row>
    <row r="81" spans="17:17" s="51" customFormat="1" ht="12.75" x14ac:dyDescent="0.25">
      <c r="Q81" s="52"/>
    </row>
    <row r="82" spans="17:17" s="51" customFormat="1" ht="12.75" x14ac:dyDescent="0.25">
      <c r="Q82" s="52"/>
    </row>
    <row r="83" spans="17:17" s="51" customFormat="1" ht="12.75" x14ac:dyDescent="0.25">
      <c r="Q83" s="52"/>
    </row>
    <row r="84" spans="17:17" s="51" customFormat="1" ht="12.75" x14ac:dyDescent="0.25">
      <c r="Q84" s="52"/>
    </row>
    <row r="85" spans="17:17" s="4" customFormat="1" x14ac:dyDescent="0.25">
      <c r="Q85" s="3"/>
    </row>
    <row r="86" spans="17:17" s="4" customFormat="1" x14ac:dyDescent="0.25">
      <c r="Q86" s="3"/>
    </row>
    <row r="87" spans="17:17" s="4" customFormat="1" x14ac:dyDescent="0.25">
      <c r="Q87" s="3"/>
    </row>
    <row r="88" spans="17:17" s="4" customFormat="1" x14ac:dyDescent="0.25">
      <c r="Q88" s="3"/>
    </row>
    <row r="89" spans="17:17" s="4" customFormat="1" x14ac:dyDescent="0.25">
      <c r="Q89" s="3"/>
    </row>
    <row r="90" spans="17:17" s="4" customFormat="1" x14ac:dyDescent="0.25">
      <c r="Q90" s="3"/>
    </row>
    <row r="91" spans="17:17" s="4" customFormat="1" x14ac:dyDescent="0.25">
      <c r="Q91" s="3"/>
    </row>
    <row r="92" spans="17:17" s="4" customFormat="1" x14ac:dyDescent="0.25">
      <c r="Q92" s="3"/>
    </row>
    <row r="93" spans="17:17" s="4" customFormat="1" x14ac:dyDescent="0.25">
      <c r="Q93" s="3"/>
    </row>
    <row r="94" spans="17:17" s="4" customFormat="1" x14ac:dyDescent="0.25">
      <c r="Q94" s="3"/>
    </row>
    <row r="95" spans="17:17" s="4" customFormat="1" x14ac:dyDescent="0.25">
      <c r="Q95" s="3"/>
    </row>
    <row r="96" spans="17:17" s="4" customFormat="1" x14ac:dyDescent="0.25">
      <c r="Q96" s="3"/>
    </row>
    <row r="97" spans="17:17" s="4" customFormat="1" x14ac:dyDescent="0.25">
      <c r="Q97" s="3"/>
    </row>
    <row r="98" spans="17:17" s="4" customFormat="1" x14ac:dyDescent="0.25">
      <c r="Q98" s="3"/>
    </row>
    <row r="99" spans="17:17" s="4" customFormat="1" x14ac:dyDescent="0.25">
      <c r="Q99" s="3"/>
    </row>
    <row r="100" spans="17:17" s="4" customFormat="1" x14ac:dyDescent="0.25">
      <c r="Q100" s="3"/>
    </row>
    <row r="101" spans="17:17" s="4" customFormat="1" x14ac:dyDescent="0.25">
      <c r="Q101" s="3"/>
    </row>
    <row r="102" spans="17:17" s="4" customFormat="1" x14ac:dyDescent="0.25">
      <c r="Q102" s="3"/>
    </row>
    <row r="103" spans="17:17" s="4" customFormat="1" x14ac:dyDescent="0.25">
      <c r="Q103" s="3"/>
    </row>
    <row r="104" spans="17:17" s="4" customFormat="1" x14ac:dyDescent="0.25">
      <c r="Q104" s="3"/>
    </row>
    <row r="105" spans="17:17" s="4" customFormat="1" x14ac:dyDescent="0.25">
      <c r="Q105" s="3"/>
    </row>
    <row r="106" spans="17:17" s="4" customFormat="1" x14ac:dyDescent="0.25">
      <c r="Q106" s="3"/>
    </row>
    <row r="107" spans="17:17" s="4" customFormat="1" x14ac:dyDescent="0.25">
      <c r="Q107" s="3"/>
    </row>
    <row r="108" spans="17:17" s="4" customFormat="1" x14ac:dyDescent="0.25">
      <c r="Q108" s="3"/>
    </row>
    <row r="109" spans="17:17" s="4" customFormat="1" x14ac:dyDescent="0.25">
      <c r="Q109" s="3"/>
    </row>
    <row r="110" spans="17:17" s="4" customFormat="1" x14ac:dyDescent="0.25">
      <c r="Q110" s="3"/>
    </row>
    <row r="111" spans="17:17" s="4" customFormat="1" x14ac:dyDescent="0.25">
      <c r="Q111" s="3"/>
    </row>
    <row r="112" spans="17:17" s="4" customFormat="1" x14ac:dyDescent="0.25">
      <c r="Q112" s="3"/>
    </row>
    <row r="113" spans="17:17" s="4" customFormat="1" x14ac:dyDescent="0.25">
      <c r="Q113" s="3"/>
    </row>
    <row r="114" spans="17:17" s="4" customFormat="1" x14ac:dyDescent="0.25">
      <c r="Q114" s="3"/>
    </row>
    <row r="115" spans="17:17" s="4" customFormat="1" x14ac:dyDescent="0.25">
      <c r="Q115" s="3"/>
    </row>
    <row r="116" spans="17:17" s="4" customFormat="1" x14ac:dyDescent="0.25">
      <c r="Q116" s="3"/>
    </row>
    <row r="117" spans="17:17" s="4" customFormat="1" x14ac:dyDescent="0.25">
      <c r="Q117" s="3"/>
    </row>
    <row r="118" spans="17:17" s="4" customFormat="1" x14ac:dyDescent="0.25">
      <c r="Q118" s="3"/>
    </row>
    <row r="119" spans="17:17" s="4" customFormat="1" x14ac:dyDescent="0.25">
      <c r="Q119" s="3"/>
    </row>
    <row r="120" spans="17:17" s="4" customFormat="1" x14ac:dyDescent="0.25">
      <c r="Q120" s="3"/>
    </row>
    <row r="121" spans="17:17" s="4" customFormat="1" x14ac:dyDescent="0.25">
      <c r="Q121" s="3"/>
    </row>
    <row r="122" spans="17:17" s="4" customFormat="1" x14ac:dyDescent="0.25">
      <c r="Q122" s="3"/>
    </row>
    <row r="123" spans="17:17" s="4" customFormat="1" x14ac:dyDescent="0.25">
      <c r="Q123" s="3"/>
    </row>
    <row r="124" spans="17:17" s="4" customFormat="1" x14ac:dyDescent="0.25">
      <c r="Q124" s="3"/>
    </row>
    <row r="125" spans="17:17" s="4" customFormat="1" x14ac:dyDescent="0.25">
      <c r="Q125" s="3"/>
    </row>
    <row r="126" spans="17:17" s="4" customFormat="1" x14ac:dyDescent="0.25">
      <c r="Q126" s="3"/>
    </row>
    <row r="127" spans="17:17" s="4" customFormat="1" x14ac:dyDescent="0.25">
      <c r="Q127" s="3"/>
    </row>
    <row r="128" spans="17:17" s="4" customFormat="1" x14ac:dyDescent="0.25">
      <c r="Q128" s="3"/>
    </row>
    <row r="129" spans="17:17" s="4" customFormat="1" x14ac:dyDescent="0.25">
      <c r="Q129" s="3"/>
    </row>
    <row r="130" spans="17:17" s="4" customFormat="1" x14ac:dyDescent="0.25">
      <c r="Q130" s="3"/>
    </row>
    <row r="131" spans="17:17" s="4" customFormat="1" x14ac:dyDescent="0.25">
      <c r="Q131" s="3"/>
    </row>
    <row r="132" spans="17:17" s="4" customFormat="1" x14ac:dyDescent="0.25">
      <c r="Q132" s="3"/>
    </row>
    <row r="133" spans="17:17" s="4" customFormat="1" x14ac:dyDescent="0.25">
      <c r="Q133" s="3"/>
    </row>
    <row r="134" spans="17:17" s="4" customFormat="1" x14ac:dyDescent="0.25">
      <c r="Q134" s="3"/>
    </row>
    <row r="135" spans="17:17" s="4" customFormat="1" x14ac:dyDescent="0.25">
      <c r="Q135" s="3"/>
    </row>
    <row r="136" spans="17:17" s="4" customFormat="1" x14ac:dyDescent="0.25">
      <c r="Q136" s="3"/>
    </row>
    <row r="137" spans="17:17" s="4" customFormat="1" x14ac:dyDescent="0.25">
      <c r="Q137" s="3"/>
    </row>
  </sheetData>
  <sheetProtection algorithmName="SHA-512" hashValue="wurjywfAJST3+Kq8kk2jtprSr+YH5QhkkXxACcyQ3/rM5iwawTSUYHC4wM/DJGs0S+nIwUqc7Z5cpnL61uw+Fg==" saltValue="23NPvrbFY1gi85lybBIFsg==" spinCount="100000" sheet="1" objects="1" scenarios="1" selectLockedCells="1" autoFilter="0"/>
  <mergeCells count="3">
    <mergeCell ref="T30:U30"/>
    <mergeCell ref="O30:P30"/>
    <mergeCell ref="B9:H9"/>
  </mergeCells>
  <pageMargins left="0.7" right="0.7" top="0.78740157499999996" bottom="0.78740157499999996" header="0.3" footer="0.3"/>
  <pageSetup paperSize="9" scale="56" orientation="landscape" horizontalDpi="1200" verticalDpi="1200" r:id="rId1"/>
  <rowBreaks count="1" manualBreakCount="1">
    <brk id="54" max="8" man="1"/>
  </rowBreaks>
  <colBreaks count="1" manualBreakCount="1">
    <brk id="9" max="136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Hintergrund!$D$9:$D$10</xm:f>
          </x14:formula1>
          <xm:sqref>C40</xm:sqref>
        </x14:dataValidation>
        <x14:dataValidation type="list" allowBlank="1" showInputMessage="1" showErrorMessage="1" xr:uid="{00000000-0002-0000-0000-000001000000}">
          <x14:formula1>
            <xm:f>Hintergrund!$D$6:$D$8</xm:f>
          </x14:formula1>
          <xm:sqref>C37</xm:sqref>
        </x14:dataValidation>
        <x14:dataValidation type="list" allowBlank="1" showInputMessage="1" showErrorMessage="1" xr:uid="{00000000-0002-0000-0000-000002000000}">
          <x14:formula1>
            <xm:f>Hintergrund!$D$3:$D$5</xm:f>
          </x14:formula1>
          <xm:sqref>C34</xm:sqref>
        </x14:dataValidation>
        <x14:dataValidation type="list" allowBlank="1" showInputMessage="1" showErrorMessage="1" xr:uid="{00000000-0002-0000-0000-000003000000}">
          <x14:formula1>
            <xm:f>Hintergrund!$D$12:$D$17</xm:f>
          </x14:formula1>
          <xm:sqref>G34</xm:sqref>
        </x14:dataValidation>
        <x14:dataValidation type="list" allowBlank="1" showInputMessage="1" showErrorMessage="1" xr:uid="{00000000-0002-0000-0000-000004000000}">
          <x14:formula1>
            <xm:f>Hintergrund!$E$19:$E$43</xm:f>
          </x14:formula1>
          <xm:sqref>M33</xm:sqref>
        </x14:dataValidation>
        <x14:dataValidation type="list" allowBlank="1" showInputMessage="1" showErrorMessage="1" xr:uid="{E5FB992A-0847-4BC4-B803-3098C1F5B244}">
          <x14:formula1>
            <xm:f>Hintergrund!$D$25:$D$27</xm:f>
          </x14:formula1>
          <xm:sqref>C19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BBB5-BA03-4341-9344-DD1149BCCFF9}">
  <sheetPr>
    <tabColor theme="4" tint="0.39997558519241921"/>
  </sheetPr>
  <dimension ref="A1:AE278"/>
  <sheetViews>
    <sheetView tabSelected="1" view="pageBreakPreview" zoomScale="80" zoomScaleNormal="70" zoomScaleSheetLayoutView="80" workbookViewId="0">
      <selection activeCell="G16" sqref="G16"/>
    </sheetView>
  </sheetViews>
  <sheetFormatPr baseColWidth="10" defaultColWidth="11" defaultRowHeight="15" x14ac:dyDescent="0.25"/>
  <cols>
    <col min="1" max="1" width="4" style="4" customWidth="1"/>
    <col min="2" max="2" width="31.25" style="1" customWidth="1"/>
    <col min="3" max="3" width="28.25" style="1" customWidth="1"/>
    <col min="4" max="4" width="36.875" style="1" customWidth="1"/>
    <col min="5" max="5" width="28.25" style="1" customWidth="1"/>
    <col min="6" max="6" width="9.75" style="4" customWidth="1"/>
    <col min="7" max="7" width="13.5" style="4" customWidth="1"/>
    <col min="8" max="8" width="9.75" style="4" customWidth="1"/>
    <col min="9" max="9" width="11" style="4"/>
    <col min="10" max="10" width="22.625" style="4" customWidth="1"/>
    <col min="11" max="11" width="7.625" style="4" customWidth="1"/>
    <col min="12" max="12" width="19.5" style="4" customWidth="1"/>
    <col min="13" max="13" width="21.875" style="4" customWidth="1"/>
    <col min="14" max="14" width="12.625" style="4" customWidth="1"/>
    <col min="15" max="15" width="12.875" style="3" customWidth="1"/>
    <col min="16" max="17" width="11" style="4"/>
    <col min="18" max="18" width="20.375" style="4" customWidth="1"/>
    <col min="19" max="31" width="11" style="4"/>
    <col min="32" max="16384" width="11" style="1"/>
  </cols>
  <sheetData>
    <row r="1" spans="2:20" s="4" customFormat="1" x14ac:dyDescent="0.25">
      <c r="O1" s="3"/>
    </row>
    <row r="2" spans="2:20" s="4" customFormat="1" x14ac:dyDescent="0.25">
      <c r="O2" s="3"/>
    </row>
    <row r="3" spans="2:20" s="4" customFormat="1" x14ac:dyDescent="0.25">
      <c r="O3" s="3"/>
    </row>
    <row r="4" spans="2:20" s="4" customFormat="1" x14ac:dyDescent="0.25">
      <c r="O4" s="3"/>
    </row>
    <row r="5" spans="2:20" s="4" customFormat="1" x14ac:dyDescent="0.25">
      <c r="O5" s="3"/>
    </row>
    <row r="6" spans="2:20" s="4" customFormat="1" x14ac:dyDescent="0.25">
      <c r="O6" s="3"/>
    </row>
    <row r="7" spans="2:20" s="4" customFormat="1" x14ac:dyDescent="0.25">
      <c r="O7" s="3"/>
    </row>
    <row r="8" spans="2:20" s="4" customFormat="1" x14ac:dyDescent="0.25">
      <c r="O8" s="3"/>
    </row>
    <row r="9" spans="2:20" s="4" customFormat="1" x14ac:dyDescent="0.25">
      <c r="O9" s="3"/>
    </row>
    <row r="10" spans="2:20" s="4" customFormat="1" ht="18.75" x14ac:dyDescent="0.3">
      <c r="B10" s="164" t="s">
        <v>278</v>
      </c>
      <c r="C10" s="164"/>
      <c r="D10" s="164"/>
      <c r="E10" s="164"/>
      <c r="O10" s="3"/>
    </row>
    <row r="11" spans="2:20" s="4" customFormat="1" ht="18.75" x14ac:dyDescent="0.3">
      <c r="B11" s="98"/>
      <c r="C11" s="98"/>
      <c r="D11" s="98"/>
      <c r="E11" s="98"/>
      <c r="O11" s="3"/>
    </row>
    <row r="12" spans="2:20" s="20" customFormat="1" ht="16.5" x14ac:dyDescent="0.3">
      <c r="B12" s="151" t="s">
        <v>279</v>
      </c>
      <c r="C12" s="100" t="s">
        <v>283</v>
      </c>
      <c r="D12" s="99"/>
      <c r="E12" s="99"/>
      <c r="O12" s="21"/>
    </row>
    <row r="13" spans="2:20" s="20" customFormat="1" ht="16.5" x14ac:dyDescent="0.3">
      <c r="B13" s="153" t="s">
        <v>280</v>
      </c>
      <c r="C13" s="100" t="s">
        <v>297</v>
      </c>
      <c r="D13" s="99"/>
      <c r="E13" s="99"/>
      <c r="O13" s="21"/>
    </row>
    <row r="14" spans="2:20" s="20" customFormat="1" ht="16.5" x14ac:dyDescent="0.3">
      <c r="B14" s="155" t="s">
        <v>281</v>
      </c>
      <c r="C14" s="100" t="s">
        <v>284</v>
      </c>
      <c r="D14" s="99"/>
      <c r="E14" s="99"/>
      <c r="O14" s="21"/>
    </row>
    <row r="15" spans="2:20" s="20" customFormat="1" ht="16.5" x14ac:dyDescent="0.3">
      <c r="B15" s="157" t="s">
        <v>282</v>
      </c>
      <c r="C15" s="100" t="s">
        <v>285</v>
      </c>
      <c r="D15" s="99"/>
      <c r="E15" s="99"/>
      <c r="O15" s="21"/>
    </row>
    <row r="16" spans="2:20" s="8" customFormat="1" ht="14.25" customHeight="1" x14ac:dyDescent="0.5">
      <c r="F16" s="4"/>
      <c r="G16" s="4"/>
      <c r="H16" s="4"/>
      <c r="M16" s="10"/>
      <c r="N16" s="11"/>
      <c r="O16" s="9"/>
      <c r="P16" s="9"/>
      <c r="R16" s="10"/>
      <c r="S16" s="12"/>
      <c r="T16" s="9"/>
    </row>
    <row r="17" spans="2:31" s="8" customFormat="1" ht="14.25" customHeight="1" x14ac:dyDescent="0.5">
      <c r="F17" s="4"/>
      <c r="G17" s="4"/>
      <c r="H17" s="4"/>
      <c r="M17" s="10"/>
      <c r="N17" s="11"/>
      <c r="O17" s="9"/>
      <c r="P17" s="9"/>
      <c r="R17" s="10"/>
      <c r="S17" s="12"/>
      <c r="T17" s="9"/>
    </row>
    <row r="18" spans="2:31" s="8" customFormat="1" ht="14.25" customHeight="1" x14ac:dyDescent="0.5">
      <c r="F18" s="4"/>
      <c r="G18" s="4"/>
      <c r="H18" s="4"/>
      <c r="M18" s="10"/>
      <c r="N18" s="11"/>
      <c r="O18" s="9"/>
      <c r="P18" s="9"/>
      <c r="R18" s="10"/>
      <c r="S18" s="12"/>
      <c r="T18" s="9"/>
    </row>
    <row r="19" spans="2:31" s="57" customFormat="1" ht="13.5" x14ac:dyDescent="0.25">
      <c r="B19" s="152" t="s">
        <v>300</v>
      </c>
      <c r="C19" s="152"/>
      <c r="D19" s="152"/>
      <c r="E19" s="152"/>
      <c r="F19" s="58"/>
      <c r="G19" s="58"/>
      <c r="H19" s="58"/>
      <c r="I19" s="58"/>
      <c r="J19" s="58"/>
      <c r="K19" s="58"/>
      <c r="L19" s="58"/>
      <c r="M19" s="58"/>
      <c r="N19" s="38"/>
      <c r="O19" s="59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2:31" s="20" customFormat="1" ht="12.75" thickBot="1" x14ac:dyDescent="0.25">
      <c r="O20" s="21"/>
    </row>
    <row r="21" spans="2:31" s="20" customFormat="1" ht="52.5" customHeight="1" thickBot="1" x14ac:dyDescent="0.25">
      <c r="B21" s="61" t="s">
        <v>149</v>
      </c>
      <c r="C21" s="83" t="s">
        <v>275</v>
      </c>
      <c r="D21" s="84" t="s">
        <v>274</v>
      </c>
      <c r="E21" s="62"/>
      <c r="F21" s="63"/>
      <c r="M21" s="21"/>
    </row>
    <row r="22" spans="2:31" s="67" customFormat="1" ht="24.75" thickBot="1" x14ac:dyDescent="0.35">
      <c r="B22" s="64" t="s">
        <v>241</v>
      </c>
      <c r="C22" s="65">
        <f>Hintergrund!E89</f>
        <v>591.02127059600105</v>
      </c>
      <c r="D22" s="85">
        <f>Hintergrund!B89</f>
        <v>11.82042541192002</v>
      </c>
      <c r="E22" s="66"/>
      <c r="M22" s="66"/>
    </row>
    <row r="23" spans="2:31" s="67" customFormat="1" ht="12" x14ac:dyDescent="0.3">
      <c r="B23" s="68" t="s">
        <v>237</v>
      </c>
      <c r="C23" s="93">
        <f>Hintergrund!E93</f>
        <v>333.58612059600097</v>
      </c>
      <c r="D23" s="94">
        <f>Hintergrund!B93</f>
        <v>6.6717224119200189</v>
      </c>
      <c r="E23" s="66"/>
      <c r="J23" s="69"/>
      <c r="L23" s="70"/>
      <c r="M23" s="71"/>
      <c r="N23" s="70"/>
      <c r="O23" s="70"/>
      <c r="P23" s="70"/>
      <c r="Q23" s="70"/>
      <c r="R23" s="70"/>
      <c r="S23" s="70"/>
    </row>
    <row r="24" spans="2:31" s="67" customFormat="1" ht="12" x14ac:dyDescent="0.3">
      <c r="B24" s="72" t="s">
        <v>254</v>
      </c>
      <c r="C24" s="95">
        <f>Hintergrund!E91</f>
        <v>257.43515000000002</v>
      </c>
      <c r="D24" s="96">
        <f>Hintergrund!B91</f>
        <v>5.1487030000000003</v>
      </c>
      <c r="E24" s="66"/>
      <c r="K24" s="74"/>
      <c r="L24" s="70"/>
      <c r="M24" s="70"/>
      <c r="N24" s="71"/>
      <c r="O24" s="70"/>
      <c r="P24" s="70"/>
      <c r="Q24" s="70"/>
      <c r="R24" s="70"/>
      <c r="S24" s="70"/>
    </row>
    <row r="25" spans="2:31" s="67" customFormat="1" ht="12" x14ac:dyDescent="0.3">
      <c r="B25" s="91" t="s">
        <v>276</v>
      </c>
      <c r="C25" s="73">
        <f>Hintergrund!E99</f>
        <v>57.93515</v>
      </c>
      <c r="D25" s="86">
        <f>Hintergrund!B99</f>
        <v>1.158703</v>
      </c>
      <c r="E25" s="66"/>
      <c r="N25" s="66"/>
    </row>
    <row r="26" spans="2:31" s="67" customFormat="1" ht="12.75" thickBot="1" x14ac:dyDescent="0.35">
      <c r="B26" s="92" t="s">
        <v>277</v>
      </c>
      <c r="C26" s="75">
        <f>Hintergrund!E100</f>
        <v>199.5</v>
      </c>
      <c r="D26" s="87">
        <f>Hintergrund!B100</f>
        <v>3.99</v>
      </c>
      <c r="E26" s="66"/>
      <c r="K26" s="76"/>
      <c r="M26" s="66"/>
    </row>
    <row r="27" spans="2:31" s="67" customFormat="1" ht="24.75" thickBot="1" x14ac:dyDescent="0.35">
      <c r="B27" s="64" t="s">
        <v>238</v>
      </c>
      <c r="C27" s="65">
        <f>C22+C28</f>
        <v>550.84972892933433</v>
      </c>
      <c r="D27" s="85">
        <f>Hintergrund!B90</f>
        <v>11.016994578586687</v>
      </c>
      <c r="E27" s="66"/>
      <c r="K27" s="76"/>
      <c r="M27" s="66"/>
    </row>
    <row r="28" spans="2:31" s="67" customFormat="1" ht="12" x14ac:dyDescent="0.3">
      <c r="B28" s="77" t="s">
        <v>239</v>
      </c>
      <c r="C28" s="78">
        <f>Hintergrund!E101</f>
        <v>-40.171541666666663</v>
      </c>
      <c r="D28" s="88">
        <f>Hintergrund!B101</f>
        <v>-0.80343083333333321</v>
      </c>
      <c r="E28" s="66"/>
      <c r="K28" s="76"/>
      <c r="M28" s="66"/>
    </row>
    <row r="29" spans="2:31" s="81" customFormat="1" ht="24.75" thickBot="1" x14ac:dyDescent="0.35">
      <c r="B29" s="97" t="s">
        <v>240</v>
      </c>
      <c r="C29" s="79">
        <f>Hintergrund!E92</f>
        <v>217.26360833333334</v>
      </c>
      <c r="D29" s="89">
        <f>Hintergrund!B92</f>
        <v>4.3452721666666667</v>
      </c>
      <c r="E29" s="80"/>
      <c r="K29" s="82"/>
      <c r="M29" s="80"/>
    </row>
    <row r="30" spans="2:31" s="67" customFormat="1" ht="24.75" thickBot="1" x14ac:dyDescent="0.35">
      <c r="B30" s="90" t="s">
        <v>255</v>
      </c>
      <c r="C30" s="65">
        <f>Hintergrund!B139</f>
        <v>200.1782802129176</v>
      </c>
      <c r="D30" s="85">
        <f>Hintergrund!B137</f>
        <v>5.0806670104801421</v>
      </c>
      <c r="E30" s="66"/>
      <c r="M30" s="66"/>
    </row>
    <row r="31" spans="2:31" s="5" customFormat="1" ht="18" customHeight="1" x14ac:dyDescent="0.4">
      <c r="B31" s="7"/>
      <c r="C31" s="6"/>
      <c r="D31" s="6"/>
      <c r="E31" s="6"/>
      <c r="F31" s="6"/>
      <c r="G31" s="6"/>
      <c r="O31" s="6"/>
    </row>
    <row r="32" spans="2:31" s="5" customFormat="1" ht="12.75" customHeight="1" x14ac:dyDescent="0.4">
      <c r="B32" s="7"/>
      <c r="C32" s="6"/>
      <c r="D32" s="6"/>
      <c r="E32" s="6"/>
      <c r="F32" s="6"/>
      <c r="G32" s="6"/>
      <c r="O32" s="6"/>
    </row>
    <row r="33" spans="2:31" s="5" customFormat="1" ht="12.75" customHeight="1" x14ac:dyDescent="0.4">
      <c r="B33" s="7"/>
      <c r="C33" s="6"/>
      <c r="D33" s="6"/>
      <c r="E33" s="6"/>
      <c r="F33" s="6"/>
      <c r="G33" s="6"/>
      <c r="O33" s="6"/>
    </row>
    <row r="34" spans="2:31" s="57" customFormat="1" ht="13.5" x14ac:dyDescent="0.25">
      <c r="B34" s="154" t="s">
        <v>301</v>
      </c>
      <c r="C34" s="154"/>
      <c r="D34" s="154"/>
      <c r="E34" s="154"/>
      <c r="F34" s="58"/>
      <c r="G34" s="58"/>
      <c r="H34" s="58"/>
      <c r="I34" s="58"/>
      <c r="J34" s="58"/>
      <c r="K34" s="58"/>
      <c r="L34" s="58"/>
      <c r="M34" s="58"/>
      <c r="N34" s="38"/>
      <c r="O34" s="5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2:31" s="4" customFormat="1" x14ac:dyDescent="0.25">
      <c r="O35" s="3"/>
    </row>
    <row r="36" spans="2:31" s="4" customFormat="1" x14ac:dyDescent="0.25">
      <c r="O36" s="3"/>
    </row>
    <row r="37" spans="2:31" s="4" customFormat="1" x14ac:dyDescent="0.25">
      <c r="O37" s="3"/>
    </row>
    <row r="38" spans="2:31" s="4" customFormat="1" x14ac:dyDescent="0.25">
      <c r="O38" s="3"/>
    </row>
    <row r="39" spans="2:31" s="4" customFormat="1" x14ac:dyDescent="0.25">
      <c r="O39" s="3"/>
    </row>
    <row r="40" spans="2:31" s="4" customFormat="1" x14ac:dyDescent="0.25">
      <c r="O40" s="3"/>
    </row>
    <row r="41" spans="2:31" s="4" customFormat="1" x14ac:dyDescent="0.25">
      <c r="O41" s="3"/>
    </row>
    <row r="42" spans="2:31" s="4" customFormat="1" x14ac:dyDescent="0.25">
      <c r="O42" s="3"/>
    </row>
    <row r="43" spans="2:31" s="4" customFormat="1" x14ac:dyDescent="0.25">
      <c r="O43" s="3"/>
    </row>
    <row r="44" spans="2:31" s="4" customFormat="1" x14ac:dyDescent="0.25">
      <c r="O44" s="3"/>
    </row>
    <row r="45" spans="2:31" s="4" customFormat="1" x14ac:dyDescent="0.25">
      <c r="O45" s="3"/>
    </row>
    <row r="46" spans="2:31" s="4" customFormat="1" x14ac:dyDescent="0.25">
      <c r="O46" s="3"/>
    </row>
    <row r="47" spans="2:31" s="4" customFormat="1" x14ac:dyDescent="0.25">
      <c r="O47" s="3"/>
    </row>
    <row r="48" spans="2:31" s="4" customFormat="1" x14ac:dyDescent="0.25">
      <c r="O48" s="3"/>
    </row>
    <row r="49" spans="2:31" s="4" customFormat="1" x14ac:dyDescent="0.25">
      <c r="O49" s="3"/>
    </row>
    <row r="50" spans="2:31" s="4" customFormat="1" x14ac:dyDescent="0.25">
      <c r="O50" s="3"/>
    </row>
    <row r="51" spans="2:31" s="4" customFormat="1" x14ac:dyDescent="0.25">
      <c r="O51" s="3"/>
    </row>
    <row r="52" spans="2:31" s="4" customFormat="1" x14ac:dyDescent="0.25">
      <c r="O52" s="3"/>
    </row>
    <row r="53" spans="2:31" s="4" customFormat="1" x14ac:dyDescent="0.25">
      <c r="O53" s="3"/>
    </row>
    <row r="54" spans="2:31" s="4" customFormat="1" x14ac:dyDescent="0.25">
      <c r="O54" s="3"/>
    </row>
    <row r="55" spans="2:31" s="4" customFormat="1" x14ac:dyDescent="0.25">
      <c r="O55" s="3"/>
    </row>
    <row r="56" spans="2:31" s="4" customFormat="1" x14ac:dyDescent="0.25">
      <c r="O56" s="3"/>
    </row>
    <row r="57" spans="2:31" s="4" customFormat="1" x14ac:dyDescent="0.25">
      <c r="O57" s="3"/>
    </row>
    <row r="58" spans="2:31" s="4" customFormat="1" x14ac:dyDescent="0.25">
      <c r="O58" s="3"/>
    </row>
    <row r="59" spans="2:31" s="4" customFormat="1" x14ac:dyDescent="0.25">
      <c r="O59" s="3"/>
    </row>
    <row r="60" spans="2:31" s="4" customFormat="1" x14ac:dyDescent="0.25">
      <c r="O60" s="3"/>
    </row>
    <row r="61" spans="2:31" s="4" customFormat="1" x14ac:dyDescent="0.25">
      <c r="O61" s="3"/>
    </row>
    <row r="62" spans="2:31" s="4" customFormat="1" x14ac:dyDescent="0.25">
      <c r="O62" s="3"/>
    </row>
    <row r="63" spans="2:31" s="4" customFormat="1" x14ac:dyDescent="0.25">
      <c r="O63" s="3"/>
    </row>
    <row r="64" spans="2:31" s="57" customFormat="1" ht="13.5" x14ac:dyDescent="0.25">
      <c r="B64" s="156" t="s">
        <v>298</v>
      </c>
      <c r="C64" s="156"/>
      <c r="D64" s="156"/>
      <c r="E64" s="156"/>
      <c r="F64" s="58"/>
      <c r="G64" s="58"/>
      <c r="H64" s="58"/>
      <c r="I64" s="58"/>
      <c r="J64" s="58"/>
      <c r="K64" s="58"/>
      <c r="L64" s="58"/>
      <c r="M64" s="58"/>
      <c r="N64" s="38"/>
      <c r="O64" s="59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pans="15:15" s="4" customFormat="1" x14ac:dyDescent="0.25">
      <c r="O65" s="3"/>
    </row>
    <row r="66" spans="15:15" s="4" customFormat="1" x14ac:dyDescent="0.25">
      <c r="O66" s="3"/>
    </row>
    <row r="67" spans="15:15" s="4" customFormat="1" x14ac:dyDescent="0.25">
      <c r="O67" s="3"/>
    </row>
    <row r="68" spans="15:15" s="4" customFormat="1" x14ac:dyDescent="0.25">
      <c r="O68" s="3"/>
    </row>
    <row r="69" spans="15:15" s="4" customFormat="1" x14ac:dyDescent="0.25">
      <c r="O69" s="3"/>
    </row>
    <row r="70" spans="15:15" s="4" customFormat="1" x14ac:dyDescent="0.25">
      <c r="O70" s="3"/>
    </row>
    <row r="71" spans="15:15" s="4" customFormat="1" x14ac:dyDescent="0.25">
      <c r="O71" s="3"/>
    </row>
    <row r="72" spans="15:15" s="4" customFormat="1" x14ac:dyDescent="0.25">
      <c r="O72" s="3"/>
    </row>
    <row r="73" spans="15:15" s="4" customFormat="1" x14ac:dyDescent="0.25">
      <c r="O73" s="3"/>
    </row>
    <row r="74" spans="15:15" s="4" customFormat="1" x14ac:dyDescent="0.25">
      <c r="O74" s="3"/>
    </row>
    <row r="75" spans="15:15" s="4" customFormat="1" x14ac:dyDescent="0.25">
      <c r="O75" s="3"/>
    </row>
    <row r="76" spans="15:15" s="4" customFormat="1" x14ac:dyDescent="0.25">
      <c r="O76" s="3"/>
    </row>
    <row r="77" spans="15:15" s="4" customFormat="1" x14ac:dyDescent="0.25">
      <c r="O77" s="3"/>
    </row>
    <row r="78" spans="15:15" s="4" customFormat="1" x14ac:dyDescent="0.25">
      <c r="O78" s="3"/>
    </row>
    <row r="79" spans="15:15" s="4" customFormat="1" x14ac:dyDescent="0.25">
      <c r="O79" s="3"/>
    </row>
    <row r="80" spans="15:15" s="4" customFormat="1" x14ac:dyDescent="0.25">
      <c r="O80" s="3"/>
    </row>
    <row r="81" spans="15:15" s="4" customFormat="1" x14ac:dyDescent="0.25">
      <c r="O81" s="3"/>
    </row>
    <row r="82" spans="15:15" s="4" customFormat="1" x14ac:dyDescent="0.25">
      <c r="O82" s="3"/>
    </row>
    <row r="83" spans="15:15" s="4" customFormat="1" x14ac:dyDescent="0.25">
      <c r="O83" s="3"/>
    </row>
    <row r="84" spans="15:15" s="4" customFormat="1" x14ac:dyDescent="0.25">
      <c r="O84" s="3"/>
    </row>
    <row r="85" spans="15:15" s="4" customFormat="1" x14ac:dyDescent="0.25">
      <c r="O85" s="3"/>
    </row>
    <row r="86" spans="15:15" s="4" customFormat="1" x14ac:dyDescent="0.25">
      <c r="O86" s="3"/>
    </row>
    <row r="87" spans="15:15" s="4" customFormat="1" x14ac:dyDescent="0.25">
      <c r="O87" s="3"/>
    </row>
    <row r="88" spans="15:15" s="4" customFormat="1" x14ac:dyDescent="0.25">
      <c r="O88" s="3"/>
    </row>
    <row r="89" spans="15:15" s="4" customFormat="1" x14ac:dyDescent="0.25">
      <c r="O89" s="3"/>
    </row>
    <row r="90" spans="15:15" s="4" customFormat="1" x14ac:dyDescent="0.25">
      <c r="O90" s="3"/>
    </row>
    <row r="91" spans="15:15" s="4" customFormat="1" x14ac:dyDescent="0.25">
      <c r="O91" s="3"/>
    </row>
    <row r="92" spans="15:15" s="4" customFormat="1" x14ac:dyDescent="0.25">
      <c r="O92" s="3"/>
    </row>
    <row r="93" spans="15:15" s="4" customFormat="1" x14ac:dyDescent="0.25">
      <c r="O93" s="3"/>
    </row>
    <row r="94" spans="15:15" s="4" customFormat="1" x14ac:dyDescent="0.25">
      <c r="O94" s="3"/>
    </row>
    <row r="95" spans="15:15" s="4" customFormat="1" x14ac:dyDescent="0.25">
      <c r="O95" s="3"/>
    </row>
    <row r="96" spans="15:15" s="4" customFormat="1" x14ac:dyDescent="0.25">
      <c r="O96" s="3"/>
    </row>
    <row r="97" spans="1:31" s="4" customFormat="1" x14ac:dyDescent="0.25">
      <c r="O97" s="3"/>
    </row>
    <row r="98" spans="1:31" s="4" customFormat="1" x14ac:dyDescent="0.25">
      <c r="O98" s="3"/>
    </row>
    <row r="99" spans="1:31" s="4" customFormat="1" x14ac:dyDescent="0.25">
      <c r="O99" s="3"/>
    </row>
    <row r="100" spans="1:31" s="23" customFormat="1" ht="13.5" x14ac:dyDescent="0.25">
      <c r="A100" s="57"/>
      <c r="B100" s="158" t="s">
        <v>299</v>
      </c>
      <c r="C100" s="158"/>
      <c r="D100" s="158"/>
      <c r="E100" s="158"/>
      <c r="F100" s="58"/>
      <c r="G100" s="58"/>
      <c r="H100" s="58"/>
      <c r="I100" s="58"/>
      <c r="J100" s="58"/>
      <c r="K100" s="58"/>
      <c r="L100" s="58"/>
      <c r="M100" s="58"/>
      <c r="N100" s="38"/>
      <c r="O100" s="59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pans="1:31" s="4" customFormat="1" x14ac:dyDescent="0.25">
      <c r="O101" s="3"/>
    </row>
    <row r="102" spans="1:31" s="4" customFormat="1" x14ac:dyDescent="0.25">
      <c r="O102" s="3"/>
    </row>
    <row r="103" spans="1:31" s="4" customFormat="1" x14ac:dyDescent="0.25">
      <c r="O103" s="3"/>
    </row>
    <row r="104" spans="1:31" s="4" customFormat="1" x14ac:dyDescent="0.25">
      <c r="O104" s="3"/>
    </row>
    <row r="105" spans="1:31" s="4" customFormat="1" x14ac:dyDescent="0.25">
      <c r="O105" s="3"/>
    </row>
    <row r="106" spans="1:31" s="4" customFormat="1" x14ac:dyDescent="0.25">
      <c r="O106" s="3"/>
    </row>
    <row r="107" spans="1:31" s="4" customFormat="1" x14ac:dyDescent="0.25">
      <c r="O107" s="3"/>
    </row>
    <row r="108" spans="1:31" s="4" customFormat="1" x14ac:dyDescent="0.25">
      <c r="O108" s="3"/>
    </row>
    <row r="109" spans="1:31" s="4" customFormat="1" x14ac:dyDescent="0.25">
      <c r="O109" s="3"/>
    </row>
    <row r="110" spans="1:31" s="4" customFormat="1" x14ac:dyDescent="0.25">
      <c r="O110" s="3"/>
    </row>
    <row r="111" spans="1:31" s="4" customFormat="1" x14ac:dyDescent="0.25">
      <c r="O111" s="3"/>
    </row>
    <row r="112" spans="1:31" s="4" customFormat="1" x14ac:dyDescent="0.25">
      <c r="O112" s="3"/>
    </row>
    <row r="113" spans="15:15" s="4" customFormat="1" x14ac:dyDescent="0.25">
      <c r="O113" s="3"/>
    </row>
    <row r="114" spans="15:15" s="4" customFormat="1" x14ac:dyDescent="0.25">
      <c r="O114" s="3"/>
    </row>
    <row r="115" spans="15:15" s="4" customFormat="1" x14ac:dyDescent="0.25">
      <c r="O115" s="3"/>
    </row>
    <row r="116" spans="15:15" s="4" customFormat="1" x14ac:dyDescent="0.25">
      <c r="O116" s="3"/>
    </row>
    <row r="117" spans="15:15" s="4" customFormat="1" x14ac:dyDescent="0.25">
      <c r="O117" s="3"/>
    </row>
    <row r="118" spans="15:15" s="4" customFormat="1" x14ac:dyDescent="0.25">
      <c r="O118" s="3"/>
    </row>
    <row r="119" spans="15:15" s="4" customFormat="1" x14ac:dyDescent="0.25">
      <c r="O119" s="3"/>
    </row>
    <row r="120" spans="15:15" s="4" customFormat="1" x14ac:dyDescent="0.25">
      <c r="O120" s="3"/>
    </row>
    <row r="121" spans="15:15" s="4" customFormat="1" x14ac:dyDescent="0.25">
      <c r="O121" s="3"/>
    </row>
    <row r="122" spans="15:15" s="4" customFormat="1" x14ac:dyDescent="0.25">
      <c r="O122" s="3"/>
    </row>
    <row r="123" spans="15:15" s="4" customFormat="1" x14ac:dyDescent="0.25">
      <c r="O123" s="3"/>
    </row>
    <row r="124" spans="15:15" s="4" customFormat="1" x14ac:dyDescent="0.25">
      <c r="O124" s="3"/>
    </row>
    <row r="125" spans="15:15" s="4" customFormat="1" x14ac:dyDescent="0.25">
      <c r="O125" s="3"/>
    </row>
    <row r="126" spans="15:15" s="4" customFormat="1" x14ac:dyDescent="0.25">
      <c r="O126" s="3"/>
    </row>
    <row r="127" spans="15:15" s="4" customFormat="1" x14ac:dyDescent="0.25">
      <c r="O127" s="3"/>
    </row>
    <row r="128" spans="15:15" s="4" customFormat="1" x14ac:dyDescent="0.25">
      <c r="O128" s="3"/>
    </row>
    <row r="129" spans="15:15" s="4" customFormat="1" x14ac:dyDescent="0.25">
      <c r="O129" s="3"/>
    </row>
    <row r="130" spans="15:15" s="4" customFormat="1" x14ac:dyDescent="0.25">
      <c r="O130" s="3"/>
    </row>
    <row r="131" spans="15:15" s="4" customFormat="1" x14ac:dyDescent="0.25">
      <c r="O131" s="3"/>
    </row>
    <row r="132" spans="15:15" s="4" customFormat="1" x14ac:dyDescent="0.25">
      <c r="O132" s="3"/>
    </row>
    <row r="133" spans="15:15" s="4" customFormat="1" x14ac:dyDescent="0.25">
      <c r="O133" s="3"/>
    </row>
    <row r="134" spans="15:15" s="4" customFormat="1" x14ac:dyDescent="0.25">
      <c r="O134" s="3"/>
    </row>
    <row r="135" spans="15:15" s="4" customFormat="1" x14ac:dyDescent="0.25">
      <c r="O135" s="3"/>
    </row>
    <row r="136" spans="15:15" s="4" customFormat="1" x14ac:dyDescent="0.25">
      <c r="O136" s="3"/>
    </row>
    <row r="137" spans="15:15" s="4" customFormat="1" x14ac:dyDescent="0.25">
      <c r="O137" s="3"/>
    </row>
    <row r="138" spans="15:15" s="4" customFormat="1" x14ac:dyDescent="0.25">
      <c r="O138" s="3"/>
    </row>
    <row r="139" spans="15:15" s="4" customFormat="1" x14ac:dyDescent="0.25">
      <c r="O139" s="3"/>
    </row>
    <row r="140" spans="15:15" s="4" customFormat="1" x14ac:dyDescent="0.25">
      <c r="O140" s="3"/>
    </row>
    <row r="141" spans="15:15" s="4" customFormat="1" x14ac:dyDescent="0.25">
      <c r="O141" s="3"/>
    </row>
    <row r="142" spans="15:15" s="4" customFormat="1" x14ac:dyDescent="0.25">
      <c r="O142" s="3"/>
    </row>
    <row r="143" spans="15:15" s="4" customFormat="1" x14ac:dyDescent="0.25">
      <c r="O143" s="3"/>
    </row>
    <row r="144" spans="15:15" s="4" customFormat="1" x14ac:dyDescent="0.25">
      <c r="O144" s="3"/>
    </row>
    <row r="145" spans="15:15" s="4" customFormat="1" x14ac:dyDescent="0.25">
      <c r="O145" s="3"/>
    </row>
    <row r="146" spans="15:15" s="4" customFormat="1" x14ac:dyDescent="0.25">
      <c r="O146" s="3"/>
    </row>
    <row r="147" spans="15:15" s="4" customFormat="1" x14ac:dyDescent="0.25">
      <c r="O147" s="3"/>
    </row>
    <row r="148" spans="15:15" s="4" customFormat="1" x14ac:dyDescent="0.25">
      <c r="O148" s="3"/>
    </row>
    <row r="149" spans="15:15" s="4" customFormat="1" x14ac:dyDescent="0.25">
      <c r="O149" s="3"/>
    </row>
    <row r="150" spans="15:15" s="4" customFormat="1" x14ac:dyDescent="0.25">
      <c r="O150" s="3"/>
    </row>
    <row r="151" spans="15:15" s="4" customFormat="1" x14ac:dyDescent="0.25">
      <c r="O151" s="3"/>
    </row>
    <row r="152" spans="15:15" s="4" customFormat="1" x14ac:dyDescent="0.25">
      <c r="O152" s="3"/>
    </row>
    <row r="153" spans="15:15" s="4" customFormat="1" x14ac:dyDescent="0.25">
      <c r="O153" s="3"/>
    </row>
    <row r="154" spans="15:15" s="4" customFormat="1" x14ac:dyDescent="0.25">
      <c r="O154" s="3"/>
    </row>
    <row r="155" spans="15:15" s="4" customFormat="1" x14ac:dyDescent="0.25">
      <c r="O155" s="3"/>
    </row>
    <row r="156" spans="15:15" s="4" customFormat="1" x14ac:dyDescent="0.25">
      <c r="O156" s="3"/>
    </row>
    <row r="157" spans="15:15" s="4" customFormat="1" x14ac:dyDescent="0.25">
      <c r="O157" s="3"/>
    </row>
    <row r="158" spans="15:15" s="4" customFormat="1" x14ac:dyDescent="0.25">
      <c r="O158" s="3"/>
    </row>
    <row r="159" spans="15:15" s="4" customFormat="1" x14ac:dyDescent="0.25">
      <c r="O159" s="3"/>
    </row>
    <row r="160" spans="15:15" s="4" customFormat="1" x14ac:dyDescent="0.25">
      <c r="O160" s="3"/>
    </row>
    <row r="161" spans="15:15" s="4" customFormat="1" x14ac:dyDescent="0.25">
      <c r="O161" s="3"/>
    </row>
    <row r="162" spans="15:15" s="4" customFormat="1" x14ac:dyDescent="0.25">
      <c r="O162" s="3"/>
    </row>
    <row r="163" spans="15:15" s="4" customFormat="1" x14ac:dyDescent="0.25">
      <c r="O163" s="3"/>
    </row>
    <row r="164" spans="15:15" s="4" customFormat="1" x14ac:dyDescent="0.25">
      <c r="O164" s="3"/>
    </row>
    <row r="165" spans="15:15" s="4" customFormat="1" x14ac:dyDescent="0.25">
      <c r="O165" s="3"/>
    </row>
    <row r="166" spans="15:15" s="4" customFormat="1" x14ac:dyDescent="0.25">
      <c r="O166" s="3"/>
    </row>
    <row r="167" spans="15:15" s="4" customFormat="1" x14ac:dyDescent="0.25">
      <c r="O167" s="3"/>
    </row>
    <row r="168" spans="15:15" s="4" customFormat="1" x14ac:dyDescent="0.25">
      <c r="O168" s="3"/>
    </row>
    <row r="169" spans="15:15" s="4" customFormat="1" x14ac:dyDescent="0.25">
      <c r="O169" s="3"/>
    </row>
    <row r="170" spans="15:15" s="4" customFormat="1" x14ac:dyDescent="0.25">
      <c r="O170" s="3"/>
    </row>
    <row r="171" spans="15:15" s="4" customFormat="1" x14ac:dyDescent="0.25">
      <c r="O171" s="3"/>
    </row>
    <row r="172" spans="15:15" s="4" customFormat="1" x14ac:dyDescent="0.25">
      <c r="O172" s="3"/>
    </row>
    <row r="173" spans="15:15" s="4" customFormat="1" x14ac:dyDescent="0.25">
      <c r="O173" s="3"/>
    </row>
    <row r="174" spans="15:15" s="4" customFormat="1" x14ac:dyDescent="0.25">
      <c r="O174" s="3"/>
    </row>
    <row r="175" spans="15:15" s="4" customFormat="1" x14ac:dyDescent="0.25">
      <c r="O175" s="3"/>
    </row>
    <row r="176" spans="15:15" s="4" customFormat="1" x14ac:dyDescent="0.25">
      <c r="O176" s="3"/>
    </row>
    <row r="177" spans="15:15" s="4" customFormat="1" x14ac:dyDescent="0.25">
      <c r="O177" s="3"/>
    </row>
    <row r="178" spans="15:15" s="4" customFormat="1" x14ac:dyDescent="0.25">
      <c r="O178" s="3"/>
    </row>
    <row r="179" spans="15:15" s="4" customFormat="1" x14ac:dyDescent="0.25">
      <c r="O179" s="3"/>
    </row>
    <row r="180" spans="15:15" s="4" customFormat="1" x14ac:dyDescent="0.25">
      <c r="O180" s="3"/>
    </row>
    <row r="181" spans="15:15" s="4" customFormat="1" x14ac:dyDescent="0.25">
      <c r="O181" s="3"/>
    </row>
    <row r="182" spans="15:15" s="4" customFormat="1" x14ac:dyDescent="0.25">
      <c r="O182" s="3"/>
    </row>
    <row r="183" spans="15:15" s="4" customFormat="1" x14ac:dyDescent="0.25">
      <c r="O183" s="3"/>
    </row>
    <row r="184" spans="15:15" s="4" customFormat="1" x14ac:dyDescent="0.25">
      <c r="O184" s="3"/>
    </row>
    <row r="185" spans="15:15" s="4" customFormat="1" x14ac:dyDescent="0.25">
      <c r="O185" s="3"/>
    </row>
    <row r="186" spans="15:15" s="4" customFormat="1" x14ac:dyDescent="0.25">
      <c r="O186" s="3"/>
    </row>
    <row r="187" spans="15:15" s="4" customFormat="1" x14ac:dyDescent="0.25">
      <c r="O187" s="3"/>
    </row>
    <row r="188" spans="15:15" s="4" customFormat="1" x14ac:dyDescent="0.25">
      <c r="O188" s="3"/>
    </row>
    <row r="189" spans="15:15" s="4" customFormat="1" x14ac:dyDescent="0.25">
      <c r="O189" s="3"/>
    </row>
    <row r="190" spans="15:15" s="4" customFormat="1" x14ac:dyDescent="0.25">
      <c r="O190" s="3"/>
    </row>
    <row r="191" spans="15:15" s="4" customFormat="1" x14ac:dyDescent="0.25">
      <c r="O191" s="3"/>
    </row>
    <row r="192" spans="15:15" s="4" customFormat="1" x14ac:dyDescent="0.25">
      <c r="O192" s="3"/>
    </row>
    <row r="193" spans="15:15" s="4" customFormat="1" x14ac:dyDescent="0.25">
      <c r="O193" s="3"/>
    </row>
    <row r="194" spans="15:15" s="4" customFormat="1" x14ac:dyDescent="0.25">
      <c r="O194" s="3"/>
    </row>
    <row r="195" spans="15:15" s="4" customFormat="1" x14ac:dyDescent="0.25">
      <c r="O195" s="3"/>
    </row>
    <row r="196" spans="15:15" s="4" customFormat="1" x14ac:dyDescent="0.25">
      <c r="O196" s="3"/>
    </row>
    <row r="197" spans="15:15" s="4" customFormat="1" x14ac:dyDescent="0.25">
      <c r="O197" s="3"/>
    </row>
    <row r="198" spans="15:15" s="4" customFormat="1" x14ac:dyDescent="0.25">
      <c r="O198" s="3"/>
    </row>
    <row r="199" spans="15:15" s="4" customFormat="1" x14ac:dyDescent="0.25">
      <c r="O199" s="3"/>
    </row>
    <row r="200" spans="15:15" s="4" customFormat="1" x14ac:dyDescent="0.25">
      <c r="O200" s="3"/>
    </row>
    <row r="201" spans="15:15" s="4" customFormat="1" x14ac:dyDescent="0.25">
      <c r="O201" s="3"/>
    </row>
    <row r="202" spans="15:15" s="4" customFormat="1" x14ac:dyDescent="0.25">
      <c r="O202" s="3"/>
    </row>
    <row r="203" spans="15:15" s="4" customFormat="1" x14ac:dyDescent="0.25">
      <c r="O203" s="3"/>
    </row>
    <row r="204" spans="15:15" s="4" customFormat="1" x14ac:dyDescent="0.25">
      <c r="O204" s="3"/>
    </row>
    <row r="205" spans="15:15" s="4" customFormat="1" x14ac:dyDescent="0.25">
      <c r="O205" s="3"/>
    </row>
    <row r="206" spans="15:15" s="4" customFormat="1" x14ac:dyDescent="0.25">
      <c r="O206" s="3"/>
    </row>
    <row r="207" spans="15:15" s="4" customFormat="1" x14ac:dyDescent="0.25">
      <c r="O207" s="3"/>
    </row>
    <row r="208" spans="15:15" s="4" customFormat="1" x14ac:dyDescent="0.25">
      <c r="O208" s="3"/>
    </row>
    <row r="209" spans="15:15" s="4" customFormat="1" x14ac:dyDescent="0.25">
      <c r="O209" s="3"/>
    </row>
    <row r="210" spans="15:15" s="4" customFormat="1" x14ac:dyDescent="0.25">
      <c r="O210" s="3"/>
    </row>
    <row r="211" spans="15:15" s="4" customFormat="1" x14ac:dyDescent="0.25">
      <c r="O211" s="3"/>
    </row>
    <row r="212" spans="15:15" s="4" customFormat="1" x14ac:dyDescent="0.25">
      <c r="O212" s="3"/>
    </row>
    <row r="213" spans="15:15" s="4" customFormat="1" x14ac:dyDescent="0.25">
      <c r="O213" s="3"/>
    </row>
    <row r="214" spans="15:15" s="4" customFormat="1" x14ac:dyDescent="0.25">
      <c r="O214" s="3"/>
    </row>
    <row r="215" spans="15:15" s="4" customFormat="1" x14ac:dyDescent="0.25">
      <c r="O215" s="3"/>
    </row>
    <row r="216" spans="15:15" s="4" customFormat="1" x14ac:dyDescent="0.25">
      <c r="O216" s="3"/>
    </row>
    <row r="217" spans="15:15" s="4" customFormat="1" x14ac:dyDescent="0.25">
      <c r="O217" s="3"/>
    </row>
    <row r="218" spans="15:15" s="4" customFormat="1" x14ac:dyDescent="0.25">
      <c r="O218" s="3"/>
    </row>
    <row r="219" spans="15:15" s="4" customFormat="1" x14ac:dyDescent="0.25">
      <c r="O219" s="3"/>
    </row>
    <row r="220" spans="15:15" s="4" customFormat="1" x14ac:dyDescent="0.25">
      <c r="O220" s="3"/>
    </row>
    <row r="221" spans="15:15" s="4" customFormat="1" x14ac:dyDescent="0.25">
      <c r="O221" s="3"/>
    </row>
    <row r="222" spans="15:15" s="4" customFormat="1" x14ac:dyDescent="0.25">
      <c r="O222" s="3"/>
    </row>
    <row r="223" spans="15:15" s="4" customFormat="1" x14ac:dyDescent="0.25">
      <c r="O223" s="3"/>
    </row>
    <row r="224" spans="15:15" s="4" customFormat="1" x14ac:dyDescent="0.25">
      <c r="O224" s="3"/>
    </row>
    <row r="225" spans="15:15" s="4" customFormat="1" x14ac:dyDescent="0.25">
      <c r="O225" s="3"/>
    </row>
    <row r="226" spans="15:15" s="4" customFormat="1" x14ac:dyDescent="0.25">
      <c r="O226" s="3"/>
    </row>
    <row r="227" spans="15:15" s="4" customFormat="1" x14ac:dyDescent="0.25">
      <c r="O227" s="3"/>
    </row>
    <row r="228" spans="15:15" s="4" customFormat="1" x14ac:dyDescent="0.25">
      <c r="O228" s="3"/>
    </row>
    <row r="229" spans="15:15" s="4" customFormat="1" x14ac:dyDescent="0.25">
      <c r="O229" s="3"/>
    </row>
    <row r="230" spans="15:15" s="4" customFormat="1" x14ac:dyDescent="0.25">
      <c r="O230" s="3"/>
    </row>
    <row r="231" spans="15:15" s="4" customFormat="1" x14ac:dyDescent="0.25">
      <c r="O231" s="3"/>
    </row>
    <row r="232" spans="15:15" s="4" customFormat="1" x14ac:dyDescent="0.25">
      <c r="O232" s="3"/>
    </row>
    <row r="233" spans="15:15" s="4" customFormat="1" x14ac:dyDescent="0.25">
      <c r="O233" s="3"/>
    </row>
    <row r="234" spans="15:15" s="4" customFormat="1" x14ac:dyDescent="0.25">
      <c r="O234" s="3"/>
    </row>
    <row r="235" spans="15:15" s="4" customFormat="1" x14ac:dyDescent="0.25">
      <c r="O235" s="3"/>
    </row>
    <row r="236" spans="15:15" s="4" customFormat="1" x14ac:dyDescent="0.25">
      <c r="O236" s="3"/>
    </row>
    <row r="237" spans="15:15" s="4" customFormat="1" x14ac:dyDescent="0.25">
      <c r="O237" s="3"/>
    </row>
    <row r="238" spans="15:15" s="4" customFormat="1" x14ac:dyDescent="0.25">
      <c r="O238" s="3"/>
    </row>
    <row r="239" spans="15:15" s="4" customFormat="1" x14ac:dyDescent="0.25">
      <c r="O239" s="3"/>
    </row>
    <row r="240" spans="15:15" s="4" customFormat="1" x14ac:dyDescent="0.25">
      <c r="O240" s="3"/>
    </row>
    <row r="241" spans="15:15" s="4" customFormat="1" x14ac:dyDescent="0.25">
      <c r="O241" s="3"/>
    </row>
    <row r="242" spans="15:15" s="4" customFormat="1" x14ac:dyDescent="0.25">
      <c r="O242" s="3"/>
    </row>
    <row r="243" spans="15:15" s="4" customFormat="1" x14ac:dyDescent="0.25">
      <c r="O243" s="3"/>
    </row>
    <row r="244" spans="15:15" s="4" customFormat="1" x14ac:dyDescent="0.25">
      <c r="O244" s="3"/>
    </row>
    <row r="245" spans="15:15" s="4" customFormat="1" x14ac:dyDescent="0.25">
      <c r="O245" s="3"/>
    </row>
    <row r="246" spans="15:15" s="4" customFormat="1" x14ac:dyDescent="0.25">
      <c r="O246" s="3"/>
    </row>
    <row r="247" spans="15:15" s="4" customFormat="1" x14ac:dyDescent="0.25">
      <c r="O247" s="3"/>
    </row>
    <row r="248" spans="15:15" s="4" customFormat="1" x14ac:dyDescent="0.25">
      <c r="O248" s="3"/>
    </row>
    <row r="249" spans="15:15" s="4" customFormat="1" x14ac:dyDescent="0.25">
      <c r="O249" s="3"/>
    </row>
    <row r="250" spans="15:15" s="4" customFormat="1" x14ac:dyDescent="0.25">
      <c r="O250" s="3"/>
    </row>
    <row r="251" spans="15:15" s="4" customFormat="1" x14ac:dyDescent="0.25">
      <c r="O251" s="3"/>
    </row>
    <row r="252" spans="15:15" s="4" customFormat="1" x14ac:dyDescent="0.25">
      <c r="O252" s="3"/>
    </row>
    <row r="253" spans="15:15" s="4" customFormat="1" x14ac:dyDescent="0.25">
      <c r="O253" s="3"/>
    </row>
    <row r="254" spans="15:15" s="4" customFormat="1" x14ac:dyDescent="0.25">
      <c r="O254" s="3"/>
    </row>
    <row r="255" spans="15:15" s="4" customFormat="1" x14ac:dyDescent="0.25">
      <c r="O255" s="3"/>
    </row>
    <row r="256" spans="15:15" s="4" customFormat="1" x14ac:dyDescent="0.25">
      <c r="O256" s="3"/>
    </row>
    <row r="257" spans="15:15" s="4" customFormat="1" x14ac:dyDescent="0.25">
      <c r="O257" s="3"/>
    </row>
    <row r="258" spans="15:15" s="4" customFormat="1" x14ac:dyDescent="0.25">
      <c r="O258" s="3"/>
    </row>
    <row r="259" spans="15:15" s="4" customFormat="1" x14ac:dyDescent="0.25">
      <c r="O259" s="3"/>
    </row>
    <row r="260" spans="15:15" s="4" customFormat="1" x14ac:dyDescent="0.25">
      <c r="O260" s="3"/>
    </row>
    <row r="261" spans="15:15" s="4" customFormat="1" x14ac:dyDescent="0.25">
      <c r="O261" s="3"/>
    </row>
    <row r="262" spans="15:15" s="4" customFormat="1" x14ac:dyDescent="0.25">
      <c r="O262" s="3"/>
    </row>
    <row r="263" spans="15:15" s="4" customFormat="1" x14ac:dyDescent="0.25">
      <c r="O263" s="3"/>
    </row>
    <row r="264" spans="15:15" s="4" customFormat="1" x14ac:dyDescent="0.25">
      <c r="O264" s="3"/>
    </row>
    <row r="265" spans="15:15" s="4" customFormat="1" x14ac:dyDescent="0.25">
      <c r="O265" s="3"/>
    </row>
    <row r="266" spans="15:15" s="4" customFormat="1" x14ac:dyDescent="0.25">
      <c r="O266" s="3"/>
    </row>
    <row r="267" spans="15:15" s="4" customFormat="1" x14ac:dyDescent="0.25">
      <c r="O267" s="3"/>
    </row>
    <row r="268" spans="15:15" s="4" customFormat="1" x14ac:dyDescent="0.25">
      <c r="O268" s="3"/>
    </row>
    <row r="269" spans="15:15" s="4" customFormat="1" x14ac:dyDescent="0.25">
      <c r="O269" s="3"/>
    </row>
    <row r="270" spans="15:15" s="4" customFormat="1" x14ac:dyDescent="0.25">
      <c r="O270" s="3"/>
    </row>
    <row r="271" spans="15:15" s="4" customFormat="1" x14ac:dyDescent="0.25">
      <c r="O271" s="3"/>
    </row>
    <row r="272" spans="15:15" s="4" customFormat="1" x14ac:dyDescent="0.25">
      <c r="O272" s="3"/>
    </row>
    <row r="273" spans="15:15" s="4" customFormat="1" x14ac:dyDescent="0.25">
      <c r="O273" s="3"/>
    </row>
    <row r="274" spans="15:15" s="4" customFormat="1" x14ac:dyDescent="0.25">
      <c r="O274" s="3"/>
    </row>
    <row r="275" spans="15:15" s="4" customFormat="1" x14ac:dyDescent="0.25">
      <c r="O275" s="3"/>
    </row>
    <row r="276" spans="15:15" s="4" customFormat="1" x14ac:dyDescent="0.25">
      <c r="O276" s="3"/>
    </row>
    <row r="277" spans="15:15" s="4" customFormat="1" x14ac:dyDescent="0.25">
      <c r="O277" s="3"/>
    </row>
    <row r="278" spans="15:15" s="4" customFormat="1" x14ac:dyDescent="0.25">
      <c r="O278" s="3"/>
    </row>
  </sheetData>
  <sheetProtection algorithmName="SHA-512" hashValue="oh/gCUVB2R05yAbhvlFMh36jOo7/cDEd6GV8O3RStFA18gKRRtSHZWnfNW3yT6i+M+tB6tm+icDHRLQMll3B4g==" saltValue="lIvhVeHj3SIqUiFQ7AglwA==" spinCount="100000" sheet="1" objects="1" scenarios="1" selectLockedCells="1" selectUnlockedCells="1"/>
  <mergeCells count="1">
    <mergeCell ref="B10:E10"/>
  </mergeCells>
  <pageMargins left="0.7" right="0.7" top="0.78740157499999996" bottom="0.78740157499999996" header="0.3" footer="0.3"/>
  <pageSetup paperSize="9" scale="56" orientation="landscape" horizontalDpi="1200" verticalDpi="1200" r:id="rId1"/>
  <rowBreaks count="3" manualBreakCount="3">
    <brk id="31" max="5" man="1"/>
    <brk id="61" max="5" man="1"/>
    <brk id="97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002060"/>
  </sheetPr>
  <dimension ref="A1:AU76"/>
  <sheetViews>
    <sheetView zoomScale="60" zoomScaleNormal="60" workbookViewId="0"/>
  </sheetViews>
  <sheetFormatPr baseColWidth="10" defaultRowHeight="16.5" x14ac:dyDescent="0.3"/>
  <cols>
    <col min="1" max="1" width="58.625" style="136" customWidth="1"/>
    <col min="2" max="2" width="46.375" style="136" customWidth="1"/>
    <col min="3" max="3" width="49.875" style="136" customWidth="1"/>
    <col min="4" max="4" width="16.875" style="136" customWidth="1"/>
    <col min="5" max="5" width="17.5" style="136" customWidth="1"/>
    <col min="6" max="20" width="29.25" style="136" customWidth="1"/>
    <col min="21" max="16384" width="11" style="136"/>
  </cols>
  <sheetData>
    <row r="1" spans="1:47" x14ac:dyDescent="0.3"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</row>
    <row r="2" spans="1:47" s="160" customFormat="1" ht="45" x14ac:dyDescent="0.25">
      <c r="A2" s="160" t="s">
        <v>24</v>
      </c>
      <c r="B2" s="160" t="s">
        <v>23</v>
      </c>
      <c r="C2" s="160" t="s">
        <v>41</v>
      </c>
      <c r="D2" s="160" t="s">
        <v>22</v>
      </c>
      <c r="E2" s="160" t="s">
        <v>34</v>
      </c>
      <c r="F2" s="160" t="s">
        <v>35</v>
      </c>
      <c r="G2" s="160" t="s">
        <v>36</v>
      </c>
      <c r="H2" s="160" t="s">
        <v>37</v>
      </c>
      <c r="I2" s="160" t="s">
        <v>38</v>
      </c>
      <c r="J2" s="160" t="s">
        <v>39</v>
      </c>
      <c r="K2" s="160" t="s">
        <v>30</v>
      </c>
      <c r="L2" s="160" t="s">
        <v>31</v>
      </c>
      <c r="M2" s="160" t="s">
        <v>151</v>
      </c>
      <c r="N2" s="160" t="s">
        <v>33</v>
      </c>
      <c r="O2" s="160" t="s">
        <v>152</v>
      </c>
      <c r="P2" s="160" t="s">
        <v>153</v>
      </c>
      <c r="Q2" s="160" t="s">
        <v>32</v>
      </c>
      <c r="R2" s="160" t="s">
        <v>154</v>
      </c>
      <c r="S2" s="160" t="s">
        <v>155</v>
      </c>
      <c r="T2" s="160" t="s">
        <v>156</v>
      </c>
    </row>
    <row r="3" spans="1:47" ht="18.75" x14ac:dyDescent="0.3">
      <c r="A3" s="138" t="str">
        <f>Eingabe!C34&amp;"-"&amp;Eingabe!C37&amp;"-"&amp;Eingabe!C40</f>
        <v>Stahlbeton-Effizienzhaus 40-Erhöhte Anforderung</v>
      </c>
      <c r="B3" s="136" t="s">
        <v>92</v>
      </c>
      <c r="C3" s="136" t="s">
        <v>67</v>
      </c>
      <c r="D3" s="136">
        <v>50</v>
      </c>
      <c r="E3" s="136">
        <v>788</v>
      </c>
      <c r="F3" s="136">
        <v>5.0436352606055381</v>
      </c>
      <c r="G3" s="136">
        <v>4.1438179832602664</v>
      </c>
      <c r="H3" s="136">
        <v>0.52998175198790465</v>
      </c>
      <c r="I3" s="136">
        <v>1.423842081025511</v>
      </c>
      <c r="J3" s="136">
        <v>-1.0540065556681437</v>
      </c>
      <c r="K3" s="136">
        <v>5.0436352606055381</v>
      </c>
      <c r="L3" s="136">
        <v>0</v>
      </c>
      <c r="M3" s="136">
        <v>0.75381720349370185</v>
      </c>
      <c r="N3" s="136">
        <v>1.3248434839385013</v>
      </c>
      <c r="O3" s="136">
        <v>0.74006341284781008</v>
      </c>
      <c r="P3" s="136">
        <v>1.9232436104925741</v>
      </c>
      <c r="Q3" s="136">
        <v>0.30166754983295091</v>
      </c>
      <c r="R3" s="136">
        <v>0</v>
      </c>
      <c r="S3" s="136">
        <v>0</v>
      </c>
      <c r="T3" s="136">
        <v>0</v>
      </c>
    </row>
    <row r="4" spans="1:47" x14ac:dyDescent="0.3">
      <c r="B4" s="136" t="s">
        <v>93</v>
      </c>
      <c r="C4" s="136" t="s">
        <v>113</v>
      </c>
      <c r="D4" s="136">
        <v>50</v>
      </c>
      <c r="E4" s="136">
        <v>788</v>
      </c>
      <c r="F4" s="136">
        <v>5.3700998546362868</v>
      </c>
      <c r="G4" s="136">
        <v>4.4601542171401976</v>
      </c>
      <c r="H4" s="136">
        <v>0.52998175198790465</v>
      </c>
      <c r="I4" s="136">
        <v>1.4731689950510514</v>
      </c>
      <c r="J4" s="136">
        <v>-1.0932051095428674</v>
      </c>
      <c r="K4" s="136">
        <v>5.3700998546362868</v>
      </c>
      <c r="L4" s="136">
        <v>0</v>
      </c>
      <c r="M4" s="136">
        <v>8.388215519230198E-2</v>
      </c>
      <c r="N4" s="136">
        <v>2.0708028070771398</v>
      </c>
      <c r="O4" s="136">
        <v>0.83893639676288345</v>
      </c>
      <c r="P4" s="136">
        <v>2.0748109457710107</v>
      </c>
      <c r="Q4" s="136">
        <v>0.30166754983295091</v>
      </c>
      <c r="R4" s="136">
        <v>0</v>
      </c>
      <c r="S4" s="136">
        <v>0</v>
      </c>
      <c r="T4" s="136">
        <v>0</v>
      </c>
    </row>
    <row r="5" spans="1:47" x14ac:dyDescent="0.3">
      <c r="B5" s="136" t="s">
        <v>94</v>
      </c>
      <c r="C5" s="136" t="s">
        <v>114</v>
      </c>
      <c r="D5" s="136">
        <v>50</v>
      </c>
      <c r="E5" s="136">
        <v>788</v>
      </c>
      <c r="F5" s="136">
        <v>5.3872397086138202</v>
      </c>
      <c r="G5" s="136">
        <v>4.3688531327146247</v>
      </c>
      <c r="H5" s="136">
        <v>0.6162282770497034</v>
      </c>
      <c r="I5" s="136">
        <v>1.5407173323246455</v>
      </c>
      <c r="J5" s="136">
        <v>-1.1385590334751576</v>
      </c>
      <c r="K5" s="136">
        <v>5.3872397086138166</v>
      </c>
      <c r="L5" s="136">
        <v>0</v>
      </c>
      <c r="M5" s="136">
        <v>0.7996635035544406</v>
      </c>
      <c r="N5" s="136">
        <v>1.5474005905539157</v>
      </c>
      <c r="O5" s="136">
        <v>0.74006341284780985</v>
      </c>
      <c r="P5" s="136">
        <v>1.9316129766977961</v>
      </c>
      <c r="Q5" s="136">
        <v>0.36849922495985465</v>
      </c>
      <c r="R5" s="136">
        <v>0</v>
      </c>
      <c r="S5" s="136">
        <v>0</v>
      </c>
      <c r="T5" s="136">
        <v>0</v>
      </c>
    </row>
    <row r="6" spans="1:47" x14ac:dyDescent="0.3">
      <c r="B6" s="136" t="s">
        <v>95</v>
      </c>
      <c r="C6" s="136" t="s">
        <v>115</v>
      </c>
      <c r="D6" s="136">
        <v>50</v>
      </c>
      <c r="E6" s="136">
        <v>788</v>
      </c>
      <c r="F6" s="136">
        <v>5.6597700715988797</v>
      </c>
      <c r="G6" s="136">
        <v>4.6676016529221753</v>
      </c>
      <c r="H6" s="136">
        <v>0.57995749369572258</v>
      </c>
      <c r="I6" s="136">
        <v>1.571361176668588</v>
      </c>
      <c r="J6" s="136">
        <v>-1.1591502516876062</v>
      </c>
      <c r="K6" s="136">
        <v>5.6597700715988797</v>
      </c>
      <c r="L6" s="136">
        <v>0</v>
      </c>
      <c r="M6" s="136">
        <v>0.7457292725087542</v>
      </c>
      <c r="N6" s="136">
        <v>1.6234248653911543</v>
      </c>
      <c r="O6" s="136">
        <v>0.83893639676288356</v>
      </c>
      <c r="P6" s="136">
        <v>2.0831803119762333</v>
      </c>
      <c r="Q6" s="136">
        <v>0.36849922495985465</v>
      </c>
      <c r="R6" s="136">
        <v>0</v>
      </c>
      <c r="S6" s="136">
        <v>0</v>
      </c>
      <c r="T6" s="136">
        <v>0</v>
      </c>
    </row>
    <row r="7" spans="1:47" x14ac:dyDescent="0.3">
      <c r="B7" s="136" t="s">
        <v>96</v>
      </c>
      <c r="C7" s="136" t="s">
        <v>116</v>
      </c>
      <c r="D7" s="136">
        <v>50</v>
      </c>
      <c r="E7" s="136">
        <v>788</v>
      </c>
      <c r="F7" s="136">
        <v>5.6096442757684599</v>
      </c>
      <c r="G7" s="136">
        <v>4.4802476667416844</v>
      </c>
      <c r="H7" s="136">
        <v>0.70247480211150237</v>
      </c>
      <c r="I7" s="136">
        <v>1.6291388857865781</v>
      </c>
      <c r="J7" s="136">
        <v>-1.2022170788713047</v>
      </c>
      <c r="K7" s="136">
        <v>5.6096442757684599</v>
      </c>
      <c r="L7" s="136">
        <v>0</v>
      </c>
      <c r="M7" s="136">
        <v>0.82467057631484342</v>
      </c>
      <c r="N7" s="136">
        <v>1.669597043616031</v>
      </c>
      <c r="O7" s="136">
        <v>0.74006341284780985</v>
      </c>
      <c r="P7" s="136">
        <v>1.9399823429030181</v>
      </c>
      <c r="Q7" s="136">
        <v>0.43533090008675812</v>
      </c>
      <c r="R7" s="136">
        <v>0</v>
      </c>
      <c r="S7" s="136">
        <v>0</v>
      </c>
      <c r="T7" s="136">
        <v>0</v>
      </c>
    </row>
    <row r="8" spans="1:47" x14ac:dyDescent="0.3">
      <c r="B8" s="136" t="s">
        <v>97</v>
      </c>
      <c r="C8" s="136" t="s">
        <v>117</v>
      </c>
      <c r="D8" s="136">
        <v>50</v>
      </c>
      <c r="E8" s="136">
        <v>788</v>
      </c>
      <c r="F8" s="136">
        <v>5.9361088697992104</v>
      </c>
      <c r="G8" s="136">
        <v>4.7965839006216182</v>
      </c>
      <c r="H8" s="136">
        <v>0.70247480211150237</v>
      </c>
      <c r="I8" s="136">
        <v>1.6784657998121184</v>
      </c>
      <c r="J8" s="136">
        <v>-1.2414156327460284</v>
      </c>
      <c r="K8" s="136">
        <v>5.9361088697992104</v>
      </c>
      <c r="L8" s="136">
        <v>0</v>
      </c>
      <c r="M8" s="136">
        <v>0.82467057631484353</v>
      </c>
      <c r="N8" s="136">
        <v>1.7456213184532696</v>
      </c>
      <c r="O8" s="136">
        <v>0.83893639676288345</v>
      </c>
      <c r="P8" s="136">
        <v>2.091549678181456</v>
      </c>
      <c r="Q8" s="136">
        <v>0.43533090008675812</v>
      </c>
      <c r="R8" s="136">
        <v>0</v>
      </c>
      <c r="S8" s="136">
        <v>0</v>
      </c>
      <c r="T8" s="136">
        <v>0</v>
      </c>
    </row>
    <row r="9" spans="1:47" x14ac:dyDescent="0.3">
      <c r="B9" s="136" t="s">
        <v>98</v>
      </c>
      <c r="C9" s="136" t="s">
        <v>65</v>
      </c>
      <c r="D9" s="136">
        <v>50</v>
      </c>
      <c r="E9" s="136">
        <v>788</v>
      </c>
      <c r="F9" s="136">
        <v>2.4373714313621031</v>
      </c>
      <c r="G9" s="136">
        <v>-1.2099456868734246</v>
      </c>
      <c r="H9" s="136">
        <v>0.52998175198790454</v>
      </c>
      <c r="I9" s="136">
        <v>5.8381379379237588</v>
      </c>
      <c r="J9" s="136">
        <v>-2.7208025716761357</v>
      </c>
      <c r="K9" s="136">
        <v>2.4373714313621031</v>
      </c>
      <c r="L9" s="136">
        <v>0</v>
      </c>
      <c r="M9" s="136">
        <v>0.75381720349370185</v>
      </c>
      <c r="N9" s="136">
        <v>0.38731125968519436</v>
      </c>
      <c r="O9" s="136">
        <v>-0.12637700537825469</v>
      </c>
      <c r="P9" s="136">
        <v>1.12095242372851</v>
      </c>
      <c r="Q9" s="136">
        <v>0.30166754983295091</v>
      </c>
      <c r="R9" s="136">
        <v>0</v>
      </c>
      <c r="S9" s="136">
        <v>0</v>
      </c>
      <c r="T9" s="136">
        <v>0</v>
      </c>
    </row>
    <row r="10" spans="1:47" x14ac:dyDescent="0.3">
      <c r="B10" s="136" t="s">
        <v>99</v>
      </c>
      <c r="C10" s="136" t="s">
        <v>118</v>
      </c>
      <c r="D10" s="136">
        <v>50</v>
      </c>
      <c r="E10" s="136">
        <v>788</v>
      </c>
      <c r="F10" s="136">
        <v>2.3855648436275159</v>
      </c>
      <c r="G10" s="136">
        <v>-1.4118808405169525</v>
      </c>
      <c r="H10" s="136">
        <v>0.56236231023354244</v>
      </c>
      <c r="I10" s="136">
        <v>5.9526938143611181</v>
      </c>
      <c r="J10" s="136">
        <v>-2.7176104404501915</v>
      </c>
      <c r="K10" s="136">
        <v>2.3855648436275159</v>
      </c>
      <c r="L10" s="136">
        <v>0</v>
      </c>
      <c r="M10" s="136">
        <v>0.75381720349370185</v>
      </c>
      <c r="N10" s="136">
        <v>0.22952541460775561</v>
      </c>
      <c r="O10" s="136">
        <v>-7.7969730203149679E-2</v>
      </c>
      <c r="P10" s="136">
        <v>1.143658307171846</v>
      </c>
      <c r="Q10" s="136">
        <v>0.33653364855736223</v>
      </c>
      <c r="R10" s="136">
        <v>0</v>
      </c>
      <c r="S10" s="136">
        <v>0</v>
      </c>
      <c r="T10" s="136">
        <v>0</v>
      </c>
    </row>
    <row r="11" spans="1:47" x14ac:dyDescent="0.3">
      <c r="B11" s="136" t="s">
        <v>100</v>
      </c>
      <c r="C11" s="136" t="s">
        <v>119</v>
      </c>
      <c r="D11" s="136">
        <v>50</v>
      </c>
      <c r="E11" s="136">
        <v>788</v>
      </c>
      <c r="F11" s="136">
        <v>2.5798270959409821</v>
      </c>
      <c r="G11" s="136">
        <v>-1.564302758247291</v>
      </c>
      <c r="H11" s="136">
        <v>0.6162282770497034</v>
      </c>
      <c r="I11" s="136">
        <v>6.6155369053857891</v>
      </c>
      <c r="J11" s="136">
        <v>-3.0876353282472198</v>
      </c>
      <c r="K11" s="136">
        <v>2.5798270959409821</v>
      </c>
      <c r="L11" s="136">
        <v>0</v>
      </c>
      <c r="M11" s="136">
        <v>0.7996635035544406</v>
      </c>
      <c r="N11" s="136">
        <v>0.35641596932866848</v>
      </c>
      <c r="O11" s="136">
        <v>-7.4073391835713265E-2</v>
      </c>
      <c r="P11" s="136">
        <v>1.1293217899337318</v>
      </c>
      <c r="Q11" s="136">
        <v>0.36849922495985465</v>
      </c>
      <c r="R11" s="136">
        <v>0</v>
      </c>
      <c r="S11" s="136">
        <v>0</v>
      </c>
      <c r="T11" s="136">
        <v>0</v>
      </c>
    </row>
    <row r="12" spans="1:47" x14ac:dyDescent="0.3">
      <c r="B12" s="136" t="s">
        <v>101</v>
      </c>
      <c r="C12" s="136" t="s">
        <v>120</v>
      </c>
      <c r="D12" s="136">
        <v>50</v>
      </c>
      <c r="E12" s="136">
        <v>788</v>
      </c>
      <c r="F12" s="136">
        <v>2.2738603785976697</v>
      </c>
      <c r="G12" s="136">
        <v>-1.5033890969765558</v>
      </c>
      <c r="H12" s="136">
        <v>0.6162282770497034</v>
      </c>
      <c r="I12" s="136">
        <v>6.6596432575120437</v>
      </c>
      <c r="J12" s="136">
        <v>-3.0978215217310709</v>
      </c>
      <c r="K12" s="136">
        <v>2.2738603785976697</v>
      </c>
      <c r="L12" s="136">
        <v>0</v>
      </c>
      <c r="M12" s="136">
        <v>0.7996635035544406</v>
      </c>
      <c r="N12" s="136">
        <v>3.1639706909455279E-2</v>
      </c>
      <c r="O12" s="136">
        <v>-7.7969730203149679E-2</v>
      </c>
      <c r="P12" s="136">
        <v>1.1520276733770682</v>
      </c>
      <c r="Q12" s="136">
        <v>0.36849922495985465</v>
      </c>
      <c r="R12" s="136">
        <v>0</v>
      </c>
      <c r="S12" s="136">
        <v>0</v>
      </c>
      <c r="T12" s="136">
        <v>0</v>
      </c>
    </row>
    <row r="13" spans="1:47" x14ac:dyDescent="0.3">
      <c r="B13" s="136" t="s">
        <v>102</v>
      </c>
      <c r="C13" s="136" t="s">
        <v>121</v>
      </c>
      <c r="D13" s="136">
        <v>50</v>
      </c>
      <c r="E13" s="136">
        <v>788</v>
      </c>
      <c r="F13" s="136">
        <v>2.6602873205741204</v>
      </c>
      <c r="G13" s="136">
        <v>-1.7783338236489969</v>
      </c>
      <c r="H13" s="136">
        <v>0.70247480211150237</v>
      </c>
      <c r="I13" s="136">
        <v>7.0247355657969166</v>
      </c>
      <c r="J13" s="136">
        <v>-3.2885892236853005</v>
      </c>
      <c r="K13" s="136">
        <v>2.6602873205741204</v>
      </c>
      <c r="L13" s="136">
        <v>0</v>
      </c>
      <c r="M13" s="136">
        <v>0.82467057631484342</v>
      </c>
      <c r="N13" s="136">
        <v>0.33666807986927916</v>
      </c>
      <c r="O13" s="136">
        <v>-7.4073391835713265E-2</v>
      </c>
      <c r="P13" s="136">
        <v>1.137691156138954</v>
      </c>
      <c r="Q13" s="136">
        <v>0.43533090008675812</v>
      </c>
      <c r="R13" s="136">
        <v>0</v>
      </c>
      <c r="S13" s="136">
        <v>0</v>
      </c>
      <c r="T13" s="136">
        <v>0</v>
      </c>
    </row>
    <row r="14" spans="1:47" x14ac:dyDescent="0.3">
      <c r="B14" s="136" t="s">
        <v>103</v>
      </c>
      <c r="C14" s="136" t="s">
        <v>122</v>
      </c>
      <c r="D14" s="136">
        <v>50</v>
      </c>
      <c r="E14" s="136">
        <v>788</v>
      </c>
      <c r="F14" s="136">
        <v>2.7551211404872595</v>
      </c>
      <c r="G14" s="136">
        <v>-1.7174201623782612</v>
      </c>
      <c r="H14" s="136">
        <v>0.70247480211150237</v>
      </c>
      <c r="I14" s="136">
        <v>7.0688419179231712</v>
      </c>
      <c r="J14" s="136">
        <v>-3.2987754171691508</v>
      </c>
      <c r="K14" s="136">
        <v>2.7551211404872595</v>
      </c>
      <c r="L14" s="136">
        <v>0</v>
      </c>
      <c r="M14" s="136">
        <v>0.82467057631484342</v>
      </c>
      <c r="N14" s="136">
        <v>0.41269235470651811</v>
      </c>
      <c r="O14" s="136">
        <v>-7.7969730203149457E-2</v>
      </c>
      <c r="P14" s="136">
        <v>1.1603970395822905</v>
      </c>
      <c r="Q14" s="136">
        <v>0.43533090008675812</v>
      </c>
      <c r="R14" s="136">
        <v>0</v>
      </c>
      <c r="S14" s="136">
        <v>0</v>
      </c>
      <c r="T14" s="136">
        <v>0</v>
      </c>
    </row>
    <row r="15" spans="1:47" x14ac:dyDescent="0.3">
      <c r="B15" s="136" t="s">
        <v>104</v>
      </c>
      <c r="C15" s="136" t="s">
        <v>66</v>
      </c>
      <c r="D15" s="136">
        <v>50</v>
      </c>
      <c r="E15" s="136">
        <v>788</v>
      </c>
      <c r="F15" s="136">
        <v>4.5331520493082049</v>
      </c>
      <c r="G15" s="136">
        <v>4.1930342712992097</v>
      </c>
      <c r="H15" s="136">
        <v>0.52998175198790454</v>
      </c>
      <c r="I15" s="136">
        <v>1.3495226064429873</v>
      </c>
      <c r="J15" s="136">
        <v>-0.92498123122651921</v>
      </c>
      <c r="K15" s="136">
        <v>4.5331520493082049</v>
      </c>
      <c r="L15" s="136">
        <v>0</v>
      </c>
      <c r="M15" s="136">
        <v>0.75381720349370185</v>
      </c>
      <c r="N15" s="136">
        <v>0.5368384426612578</v>
      </c>
      <c r="O15" s="136">
        <v>1.0175852428277201</v>
      </c>
      <c r="P15" s="136">
        <v>1.9232436104925743</v>
      </c>
      <c r="Q15" s="136">
        <v>0.30166754983295091</v>
      </c>
      <c r="R15" s="136">
        <v>0</v>
      </c>
      <c r="S15" s="136">
        <v>0</v>
      </c>
      <c r="T15" s="136">
        <v>0</v>
      </c>
    </row>
    <row r="16" spans="1:47" x14ac:dyDescent="0.3">
      <c r="B16" s="136" t="s">
        <v>105</v>
      </c>
      <c r="C16" s="136" t="s">
        <v>90</v>
      </c>
      <c r="D16" s="136">
        <v>50</v>
      </c>
      <c r="E16" s="136">
        <v>788</v>
      </c>
      <c r="F16" s="136">
        <v>5.9036864829909774</v>
      </c>
      <c r="G16" s="136">
        <v>4.9375958303832093</v>
      </c>
      <c r="H16" s="136">
        <v>0.52998175198790454</v>
      </c>
      <c r="I16" s="136">
        <v>1.4052197785162996</v>
      </c>
      <c r="J16" s="136">
        <v>-0.95036096497433953</v>
      </c>
      <c r="K16" s="136">
        <v>5.9036864829909774</v>
      </c>
      <c r="L16" s="136">
        <v>0</v>
      </c>
      <c r="M16" s="136">
        <v>0.75381720349370185</v>
      </c>
      <c r="N16" s="136">
        <v>1.227268066693874</v>
      </c>
      <c r="O16" s="136">
        <v>1.5461227171994396</v>
      </c>
      <c r="P16" s="136">
        <v>2.0748109457710111</v>
      </c>
      <c r="Q16" s="136">
        <v>0.30166754983295091</v>
      </c>
      <c r="R16" s="136">
        <v>0</v>
      </c>
      <c r="S16" s="136">
        <v>0</v>
      </c>
      <c r="T16" s="136">
        <v>0</v>
      </c>
    </row>
    <row r="17" spans="1:20" x14ac:dyDescent="0.3">
      <c r="B17" s="136" t="s">
        <v>106</v>
      </c>
      <c r="C17" s="136" t="s">
        <v>89</v>
      </c>
      <c r="D17" s="136">
        <v>50</v>
      </c>
      <c r="E17" s="136">
        <v>788</v>
      </c>
      <c r="F17" s="136">
        <v>5.5001165348151337</v>
      </c>
      <c r="G17" s="136">
        <v>4.4428546655289232</v>
      </c>
      <c r="H17" s="136">
        <v>0.6162282770497034</v>
      </c>
      <c r="I17" s="136">
        <v>1.4328394332497363</v>
      </c>
      <c r="J17" s="136">
        <v>-0.99180584101322866</v>
      </c>
      <c r="K17" s="136">
        <v>5.5001165348151337</v>
      </c>
      <c r="L17" s="136">
        <v>0</v>
      </c>
      <c r="M17" s="136">
        <v>0.7996635035544406</v>
      </c>
      <c r="N17" s="136">
        <v>1.3827555867753227</v>
      </c>
      <c r="O17" s="136">
        <v>1.0175852428277203</v>
      </c>
      <c r="P17" s="136">
        <v>1.9316129766977961</v>
      </c>
      <c r="Q17" s="136">
        <v>0.36849922495985465</v>
      </c>
      <c r="R17" s="136">
        <v>0</v>
      </c>
      <c r="S17" s="136">
        <v>0</v>
      </c>
      <c r="T17" s="136">
        <v>0</v>
      </c>
    </row>
    <row r="18" spans="1:20" x14ac:dyDescent="0.3">
      <c r="B18" s="136" t="s">
        <v>107</v>
      </c>
      <c r="C18" s="136" t="s">
        <v>88</v>
      </c>
      <c r="D18" s="136">
        <v>50</v>
      </c>
      <c r="E18" s="136">
        <v>788</v>
      </c>
      <c r="F18" s="136">
        <v>6.2749955322246258</v>
      </c>
      <c r="G18" s="136">
        <v>5.1874162246129227</v>
      </c>
      <c r="H18" s="136">
        <v>0.6162282770497034</v>
      </c>
      <c r="I18" s="136">
        <v>1.4885366053230487</v>
      </c>
      <c r="J18" s="136">
        <v>-1.0171855747610488</v>
      </c>
      <c r="K18" s="136">
        <v>6.2749955322246258</v>
      </c>
      <c r="L18" s="136">
        <v>0</v>
      </c>
      <c r="M18" s="136">
        <v>0.7996635035544406</v>
      </c>
      <c r="N18" s="136">
        <v>1.4587798616125611</v>
      </c>
      <c r="O18" s="136">
        <v>1.5648726301215365</v>
      </c>
      <c r="P18" s="136">
        <v>2.0831803119762333</v>
      </c>
      <c r="Q18" s="136">
        <v>0.36849922495985465</v>
      </c>
      <c r="R18" s="136">
        <v>0</v>
      </c>
      <c r="S18" s="136">
        <v>0</v>
      </c>
      <c r="T18" s="136">
        <v>0</v>
      </c>
    </row>
    <row r="19" spans="1:20" x14ac:dyDescent="0.3">
      <c r="B19" s="136" t="s">
        <v>108</v>
      </c>
      <c r="C19" s="136" t="s">
        <v>87</v>
      </c>
      <c r="D19" s="136">
        <v>50</v>
      </c>
      <c r="E19" s="136">
        <v>788</v>
      </c>
      <c r="F19" s="136">
        <v>5.7284908941719603</v>
      </c>
      <c r="G19" s="136">
        <v>4.5707726960728854</v>
      </c>
      <c r="H19" s="136">
        <v>0.70247480211150237</v>
      </c>
      <c r="I19" s="136">
        <v>1.4988887037167449</v>
      </c>
      <c r="J19" s="136">
        <v>-1.0436453077291727</v>
      </c>
      <c r="K19" s="136">
        <v>5.7284908941719603</v>
      </c>
      <c r="L19" s="136">
        <v>0</v>
      </c>
      <c r="M19" s="136">
        <v>0.82467057631484342</v>
      </c>
      <c r="N19" s="136">
        <v>1.5109218320396196</v>
      </c>
      <c r="O19" s="136">
        <v>1.0175852428277203</v>
      </c>
      <c r="P19" s="136">
        <v>1.9399823429030187</v>
      </c>
      <c r="Q19" s="136">
        <v>0.43533090008675812</v>
      </c>
      <c r="R19" s="136">
        <v>0</v>
      </c>
      <c r="S19" s="136">
        <v>0</v>
      </c>
      <c r="T19" s="136">
        <v>0</v>
      </c>
    </row>
    <row r="20" spans="1:20" x14ac:dyDescent="0.3">
      <c r="B20" s="136" t="s">
        <v>109</v>
      </c>
      <c r="C20" s="136" t="s">
        <v>86</v>
      </c>
      <c r="D20" s="136">
        <v>50</v>
      </c>
      <c r="E20" s="136">
        <v>788</v>
      </c>
      <c r="F20" s="136">
        <v>6.5033698915814506</v>
      </c>
      <c r="G20" s="136">
        <v>5.3153342551568841</v>
      </c>
      <c r="H20" s="136">
        <v>0.70247480211150204</v>
      </c>
      <c r="I20" s="136">
        <v>1.5545858757900572</v>
      </c>
      <c r="J20" s="136">
        <v>-1.0690250414769928</v>
      </c>
      <c r="K20" s="136">
        <v>6.5033698915814506</v>
      </c>
      <c r="L20" s="136">
        <v>0</v>
      </c>
      <c r="M20" s="136">
        <v>0.82467057631484342</v>
      </c>
      <c r="N20" s="136">
        <v>1.5869461068768582</v>
      </c>
      <c r="O20" s="136">
        <v>1.5648726301215363</v>
      </c>
      <c r="P20" s="136">
        <v>2.0915496781814551</v>
      </c>
      <c r="Q20" s="136">
        <v>0.43533090008675812</v>
      </c>
      <c r="R20" s="136">
        <v>0</v>
      </c>
      <c r="S20" s="136">
        <v>0</v>
      </c>
      <c r="T20" s="136">
        <v>0</v>
      </c>
    </row>
    <row r="21" spans="1:20" ht="18.75" x14ac:dyDescent="0.3">
      <c r="A21" s="138" t="str">
        <f>IF(Eingabe!G34=Datenbasis!A50,Datenbasis!B21,IF(Eingabe!G34=Datenbasis!A51,Datenbasis!B22,IF(Eingabe!G34=Datenbasis!A52,Datenbasis!B23,IF(Eingabe!G34=Datenbasis!A53,Datenbasis!B24,IF(Eingabe!G34=Datenbasis!A54,Datenbasis!B25,IF(Eingabe!G34=Datenbasis!A55,Datenbasis!B26,IF(Eingabe!G34=Datenbasis!A56,Datenbasis!#REF!,"FEHLER")))))))</f>
        <v>Wärme-Luft-WP (Strom)-Flächenheizung</v>
      </c>
      <c r="B21" s="136" t="s">
        <v>110</v>
      </c>
      <c r="C21" s="136" t="s">
        <v>124</v>
      </c>
      <c r="D21" s="136">
        <v>50</v>
      </c>
      <c r="E21" s="136">
        <v>788</v>
      </c>
      <c r="F21" s="136">
        <v>0.36782922414509289</v>
      </c>
      <c r="G21" s="136">
        <v>0.26113898947068187</v>
      </c>
      <c r="H21" s="136">
        <v>0.29583483325127324</v>
      </c>
      <c r="I21" s="136">
        <v>1.2738343963297543E-3</v>
      </c>
      <c r="J21" s="136">
        <v>-0.19041843297319197</v>
      </c>
      <c r="K21" s="136">
        <v>0</v>
      </c>
      <c r="L21" s="136">
        <v>0.36782922414509289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0.36782922414509289</v>
      </c>
      <c r="S21" s="136">
        <v>0</v>
      </c>
      <c r="T21" s="136">
        <v>0</v>
      </c>
    </row>
    <row r="22" spans="1:20" x14ac:dyDescent="0.3">
      <c r="B22" s="136" t="s">
        <v>111</v>
      </c>
      <c r="C22" s="136" t="s">
        <v>123</v>
      </c>
      <c r="D22" s="136">
        <v>50</v>
      </c>
      <c r="E22" s="136">
        <v>788</v>
      </c>
      <c r="F22" s="136">
        <v>0.39023072859449509</v>
      </c>
      <c r="G22" s="136">
        <v>0.27348147107398163</v>
      </c>
      <c r="H22" s="136">
        <v>0.32183662395699036</v>
      </c>
      <c r="I22" s="136">
        <v>1.9322481458885715E-3</v>
      </c>
      <c r="J22" s="136">
        <v>-0.20701961458236548</v>
      </c>
      <c r="K22" s="136">
        <v>0</v>
      </c>
      <c r="L22" s="136">
        <v>0.39023072859449509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0.39023072859449509</v>
      </c>
      <c r="S22" s="136">
        <v>0</v>
      </c>
      <c r="T22" s="136">
        <v>0</v>
      </c>
    </row>
    <row r="23" spans="1:20" x14ac:dyDescent="0.3">
      <c r="B23" s="136" t="s">
        <v>286</v>
      </c>
      <c r="C23" s="136" t="s">
        <v>125</v>
      </c>
      <c r="D23" s="136">
        <v>50</v>
      </c>
      <c r="E23" s="136">
        <v>788</v>
      </c>
      <c r="F23" s="136">
        <v>0.39084906228454414</v>
      </c>
      <c r="G23" s="136">
        <v>0.28524831366761311</v>
      </c>
      <c r="H23" s="136">
        <v>0.34193960221675962</v>
      </c>
      <c r="I23" s="136">
        <v>2.1689468214170835E-4</v>
      </c>
      <c r="J23" s="136">
        <v>-0.23655574828197032</v>
      </c>
      <c r="K23" s="136">
        <v>0</v>
      </c>
      <c r="L23" s="136">
        <v>0.39084906228454414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0.39084906228454414</v>
      </c>
      <c r="S23" s="136">
        <v>0</v>
      </c>
      <c r="T23" s="136">
        <v>0</v>
      </c>
    </row>
    <row r="24" spans="1:20" x14ac:dyDescent="0.3">
      <c r="B24" s="136" t="s">
        <v>112</v>
      </c>
      <c r="C24" s="136" t="s">
        <v>126</v>
      </c>
      <c r="D24" s="136">
        <v>50</v>
      </c>
      <c r="E24" s="136">
        <v>788</v>
      </c>
      <c r="F24" s="136">
        <v>0.30347553503188407</v>
      </c>
      <c r="G24" s="136">
        <v>0.23276290400286656</v>
      </c>
      <c r="H24" s="136">
        <v>0.23297789075815922</v>
      </c>
      <c r="I24" s="136">
        <v>2.1498675529266949E-4</v>
      </c>
      <c r="J24" s="136">
        <v>-0.16248024648443435</v>
      </c>
      <c r="K24" s="136">
        <v>0</v>
      </c>
      <c r="L24" s="136">
        <v>0.30347553503188407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0.30347553503188407</v>
      </c>
      <c r="S24" s="136">
        <v>0</v>
      </c>
      <c r="T24" s="136">
        <v>0</v>
      </c>
    </row>
    <row r="25" spans="1:20" x14ac:dyDescent="0.3">
      <c r="B25" s="136" t="s">
        <v>287</v>
      </c>
      <c r="C25" s="136" t="s">
        <v>68</v>
      </c>
      <c r="D25" s="136">
        <v>50</v>
      </c>
      <c r="E25" s="136">
        <v>788</v>
      </c>
      <c r="F25" s="136">
        <v>0.38093053812080846</v>
      </c>
      <c r="G25" s="136">
        <v>0.14369719680209628</v>
      </c>
      <c r="H25" s="136">
        <v>0.27839418695372325</v>
      </c>
      <c r="I25" s="136">
        <v>9.4376856616501248E-2</v>
      </c>
      <c r="J25" s="136">
        <v>-0.13553770225151235</v>
      </c>
      <c r="K25" s="136">
        <v>0</v>
      </c>
      <c r="L25" s="136">
        <v>0.38093053812080846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0.38093053812080846</v>
      </c>
      <c r="S25" s="136">
        <v>0</v>
      </c>
      <c r="T25" s="136">
        <v>0</v>
      </c>
    </row>
    <row r="26" spans="1:20" x14ac:dyDescent="0.3">
      <c r="B26" s="136" t="s">
        <v>288</v>
      </c>
      <c r="C26" s="136" t="s">
        <v>127</v>
      </c>
      <c r="D26" s="136">
        <v>50</v>
      </c>
      <c r="E26" s="136">
        <v>788</v>
      </c>
      <c r="F26" s="136">
        <v>0.38093053812080846</v>
      </c>
      <c r="G26" s="136">
        <v>0.14369719680209628</v>
      </c>
      <c r="H26" s="136">
        <v>0.27839418695372325</v>
      </c>
      <c r="I26" s="136">
        <v>9.4376856616501248E-2</v>
      </c>
      <c r="J26" s="136">
        <v>-0.13553770225151235</v>
      </c>
      <c r="K26" s="136">
        <v>0</v>
      </c>
      <c r="L26" s="136">
        <v>0.38093053812080846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0.38093053812080846</v>
      </c>
      <c r="S26" s="136">
        <v>0</v>
      </c>
      <c r="T26" s="136">
        <v>0</v>
      </c>
    </row>
    <row r="27" spans="1:20" x14ac:dyDescent="0.3">
      <c r="B27" s="136" t="s">
        <v>50</v>
      </c>
      <c r="C27" s="136" t="s">
        <v>91</v>
      </c>
      <c r="D27" s="136">
        <v>50</v>
      </c>
      <c r="E27" s="136">
        <v>788</v>
      </c>
      <c r="F27" s="136">
        <v>0.12594042628030452</v>
      </c>
      <c r="G27" s="136">
        <v>0.10720646077051865</v>
      </c>
      <c r="H27" s="136">
        <v>0.21469797280377298</v>
      </c>
      <c r="I27" s="136">
        <v>1.425256313678427E-4</v>
      </c>
      <c r="J27" s="136">
        <v>-0.19610653292535496</v>
      </c>
      <c r="K27" s="136">
        <v>0</v>
      </c>
      <c r="L27" s="136">
        <v>0.12594042628030452</v>
      </c>
      <c r="M27" s="136">
        <v>0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0.12594042628030452</v>
      </c>
      <c r="T27" s="136">
        <v>0</v>
      </c>
    </row>
    <row r="41" spans="1:1" x14ac:dyDescent="0.3">
      <c r="A41" s="136" t="s">
        <v>21</v>
      </c>
    </row>
    <row r="42" spans="1:1" x14ac:dyDescent="0.3">
      <c r="A42" s="136" t="s">
        <v>18</v>
      </c>
    </row>
    <row r="43" spans="1:1" x14ac:dyDescent="0.3">
      <c r="A43" s="136" t="s">
        <v>25</v>
      </c>
    </row>
    <row r="44" spans="1:1" x14ac:dyDescent="0.3">
      <c r="A44" s="136" t="s">
        <v>40</v>
      </c>
    </row>
    <row r="45" spans="1:1" x14ac:dyDescent="0.3">
      <c r="A45" s="136" t="s">
        <v>26</v>
      </c>
    </row>
    <row r="46" spans="1:1" x14ac:dyDescent="0.3">
      <c r="A46" s="136" t="s">
        <v>27</v>
      </c>
    </row>
    <row r="47" spans="1:1" x14ac:dyDescent="0.3">
      <c r="A47" s="136" t="s">
        <v>28</v>
      </c>
    </row>
    <row r="48" spans="1:1" x14ac:dyDescent="0.3">
      <c r="A48" s="136" t="s">
        <v>29</v>
      </c>
    </row>
    <row r="49" spans="1:1" x14ac:dyDescent="0.3">
      <c r="A49" s="136" t="s">
        <v>0</v>
      </c>
    </row>
    <row r="50" spans="1:1" x14ac:dyDescent="0.3">
      <c r="A50" s="136" t="s">
        <v>2</v>
      </c>
    </row>
    <row r="51" spans="1:1" x14ac:dyDescent="0.3">
      <c r="A51" s="136" t="s">
        <v>3</v>
      </c>
    </row>
    <row r="52" spans="1:1" x14ac:dyDescent="0.3">
      <c r="A52" s="139" t="s">
        <v>47</v>
      </c>
    </row>
    <row r="53" spans="1:1" x14ac:dyDescent="0.3">
      <c r="A53" s="136" t="s">
        <v>4</v>
      </c>
    </row>
    <row r="54" spans="1:1" x14ac:dyDescent="0.3">
      <c r="A54" s="136" t="s">
        <v>224</v>
      </c>
    </row>
    <row r="55" spans="1:1" x14ac:dyDescent="0.3">
      <c r="A55" s="136" t="s">
        <v>225</v>
      </c>
    </row>
    <row r="56" spans="1:1" x14ac:dyDescent="0.3">
      <c r="A56" s="136" t="s">
        <v>46</v>
      </c>
    </row>
    <row r="57" spans="1:1" x14ac:dyDescent="0.3">
      <c r="A57" s="136" t="s">
        <v>48</v>
      </c>
    </row>
    <row r="58" spans="1:1" x14ac:dyDescent="0.3">
      <c r="A58" s="136" t="s">
        <v>49</v>
      </c>
    </row>
    <row r="59" spans="1:1" x14ac:dyDescent="0.3">
      <c r="A59" s="136" t="s">
        <v>50</v>
      </c>
    </row>
    <row r="60" spans="1:1" x14ac:dyDescent="0.3">
      <c r="A60" s="136" t="s">
        <v>1</v>
      </c>
    </row>
    <row r="61" spans="1:1" x14ac:dyDescent="0.3">
      <c r="A61" s="136" t="s">
        <v>51</v>
      </c>
    </row>
    <row r="63" spans="1:1" x14ac:dyDescent="0.3">
      <c r="A63" s="140"/>
    </row>
    <row r="71" spans="1:1" x14ac:dyDescent="0.3">
      <c r="A71" s="140"/>
    </row>
    <row r="76" spans="1:1" x14ac:dyDescent="0.3">
      <c r="A76" s="140"/>
    </row>
  </sheetData>
  <sheetProtection algorithmName="SHA-512" hashValue="MbAZK0o8ozoKJKuKLIf26jQny3JmTkCifjnP0ytq4vdIIPVSaEy8QSvWMQPN0Pa817I8PBI//Bm+qXJmdj1Opg==" saltValue="VqAqAmMNnTCk1/OUeNGbGg==" spinCount="100000" sheet="1" objects="1" scenarios="1" selectLockedCells="1" selectUnlockedCells="1"/>
  <mergeCells count="3">
    <mergeCell ref="Z1:AG1"/>
    <mergeCell ref="AH1:AO1"/>
    <mergeCell ref="AP1:AU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theme="1" tint="0.499984740745262"/>
  </sheetPr>
  <dimension ref="A1:BU139"/>
  <sheetViews>
    <sheetView zoomScale="50" zoomScaleNormal="50" workbookViewId="0">
      <selection sqref="A1:B1"/>
    </sheetView>
  </sheetViews>
  <sheetFormatPr baseColWidth="10" defaultRowHeight="16.5" x14ac:dyDescent="0.3"/>
  <cols>
    <col min="1" max="1" width="41.875" style="101" customWidth="1"/>
    <col min="2" max="2" width="38.625" style="105" customWidth="1"/>
    <col min="3" max="3" width="24.75" style="101" customWidth="1"/>
    <col min="4" max="4" width="23.875" style="101" customWidth="1"/>
    <col min="5" max="5" width="36.75" style="101" customWidth="1"/>
    <col min="6" max="6" width="19.625" style="101" customWidth="1"/>
    <col min="7" max="7" width="22" style="101" customWidth="1"/>
    <col min="8" max="8" width="18.875" style="101" customWidth="1"/>
    <col min="9" max="10" width="33.375" style="101" customWidth="1"/>
    <col min="11" max="11" width="14.625" style="101" customWidth="1"/>
    <col min="12" max="12" width="11" style="101"/>
    <col min="13" max="13" width="18.375" style="101" customWidth="1"/>
    <col min="14" max="14" width="11" style="101"/>
    <col min="15" max="15" width="21.375" style="101" customWidth="1"/>
    <col min="16" max="19" width="11" style="101"/>
    <col min="20" max="20" width="11.625" style="101" customWidth="1"/>
    <col min="21" max="21" width="11" style="101"/>
    <col min="22" max="22" width="22.75" style="101" customWidth="1"/>
    <col min="23" max="23" width="11" style="101"/>
    <col min="24" max="24" width="28.25" style="101" customWidth="1"/>
    <col min="25" max="25" width="11" style="101"/>
    <col min="26" max="26" width="22" style="101" customWidth="1"/>
    <col min="27" max="27" width="33.375" style="101" customWidth="1"/>
    <col min="28" max="28" width="23.125" style="101" customWidth="1"/>
    <col min="29" max="29" width="28.625" style="101" customWidth="1"/>
    <col min="30" max="30" width="26.5" style="101" customWidth="1"/>
    <col min="31" max="31" width="31.125" style="101" customWidth="1"/>
    <col min="32" max="16384" width="11" style="101"/>
  </cols>
  <sheetData>
    <row r="1" spans="1:73" x14ac:dyDescent="0.3">
      <c r="A1" s="169"/>
      <c r="B1" s="169"/>
      <c r="D1" s="102"/>
      <c r="Z1" s="102"/>
      <c r="AD1" s="102"/>
      <c r="BL1" s="101" t="s">
        <v>6</v>
      </c>
      <c r="BS1" s="167" t="s">
        <v>16</v>
      </c>
      <c r="BT1" s="167"/>
      <c r="BU1" s="167"/>
    </row>
    <row r="2" spans="1:73" x14ac:dyDescent="0.3">
      <c r="A2" s="170"/>
      <c r="B2" s="170"/>
      <c r="C2" s="149" t="s">
        <v>207</v>
      </c>
      <c r="D2" s="102" t="s">
        <v>157</v>
      </c>
      <c r="E2" s="149" t="s">
        <v>244</v>
      </c>
      <c r="H2" s="149" t="s">
        <v>207</v>
      </c>
      <c r="I2" s="103"/>
      <c r="BJ2" s="101" t="s">
        <v>19</v>
      </c>
      <c r="BQ2" s="101" t="s">
        <v>17</v>
      </c>
      <c r="BR2" s="101" t="s">
        <v>14</v>
      </c>
      <c r="BS2" s="101" t="s">
        <v>15</v>
      </c>
    </row>
    <row r="3" spans="1:73" x14ac:dyDescent="0.3">
      <c r="A3" s="104" t="s">
        <v>5</v>
      </c>
      <c r="C3" s="149"/>
      <c r="D3" s="101" t="s">
        <v>21</v>
      </c>
      <c r="E3" s="102"/>
      <c r="F3" s="168" t="s">
        <v>246</v>
      </c>
      <c r="G3" s="168"/>
      <c r="H3" s="168"/>
      <c r="I3" s="149"/>
      <c r="J3" s="168" t="s">
        <v>71</v>
      </c>
      <c r="K3" s="168"/>
      <c r="L3" s="168"/>
      <c r="M3" s="168"/>
      <c r="P3" s="102"/>
      <c r="BJ3" s="101" t="s">
        <v>8</v>
      </c>
      <c r="BQ3" s="101">
        <v>0.28000000000000003</v>
      </c>
      <c r="BR3" s="101">
        <f>BQ3*0.55</f>
        <v>0.15400000000000003</v>
      </c>
      <c r="BS3" s="101">
        <f>BQ3*0.7</f>
        <v>0.19600000000000001</v>
      </c>
    </row>
    <row r="4" spans="1:73" ht="18" x14ac:dyDescent="0.35">
      <c r="A4" s="102"/>
      <c r="C4" s="150"/>
      <c r="D4" s="101" t="s">
        <v>18</v>
      </c>
      <c r="F4" s="101" t="s">
        <v>40</v>
      </c>
      <c r="G4" s="149">
        <v>42</v>
      </c>
      <c r="H4" s="106">
        <f>G4*C7</f>
        <v>33096</v>
      </c>
      <c r="I4" s="150"/>
      <c r="J4" s="101" t="s">
        <v>52</v>
      </c>
      <c r="K4" s="101" t="s">
        <v>3</v>
      </c>
      <c r="L4" s="101">
        <v>0.2369</v>
      </c>
      <c r="M4" s="101" t="s">
        <v>289</v>
      </c>
      <c r="BK4" s="101" t="s">
        <v>9</v>
      </c>
      <c r="BR4" s="101">
        <v>0.35</v>
      </c>
      <c r="BS4" s="101">
        <f t="shared" ref="BS4:BS9" si="0">BR4*0.55</f>
        <v>0.1925</v>
      </c>
      <c r="BT4" s="101">
        <f t="shared" ref="BT4:BT9" si="1">BR4*0.7</f>
        <v>0.24499999999999997</v>
      </c>
    </row>
    <row r="5" spans="1:73" ht="18" x14ac:dyDescent="0.35">
      <c r="A5" s="102" t="s">
        <v>233</v>
      </c>
      <c r="B5" s="107"/>
      <c r="C5" s="159"/>
      <c r="D5" s="101" t="s">
        <v>25</v>
      </c>
      <c r="E5" s="108"/>
      <c r="F5" s="101" t="s">
        <v>26</v>
      </c>
      <c r="G5" s="109">
        <f>0.55*G4</f>
        <v>23.1</v>
      </c>
      <c r="H5" s="106">
        <f>G5*C7</f>
        <v>18202.800000000003</v>
      </c>
      <c r="I5" s="110"/>
      <c r="J5" s="101" t="s">
        <v>53</v>
      </c>
      <c r="K5" s="101" t="s">
        <v>2</v>
      </c>
      <c r="L5" s="101">
        <v>0.30130000000000001</v>
      </c>
      <c r="M5" s="101" t="s">
        <v>289</v>
      </c>
      <c r="BK5" s="101" t="s">
        <v>10</v>
      </c>
      <c r="BR5" s="101">
        <v>0.2</v>
      </c>
      <c r="BS5" s="101">
        <f t="shared" si="0"/>
        <v>0.11000000000000001</v>
      </c>
      <c r="BT5" s="101">
        <f t="shared" si="1"/>
        <v>0.13999999999999999</v>
      </c>
    </row>
    <row r="6" spans="1:73" ht="18" x14ac:dyDescent="0.35">
      <c r="A6" s="101" t="s">
        <v>231</v>
      </c>
      <c r="B6" s="107" t="str">
        <f>Eingabe!C19</f>
        <v>Gebäudelebenszyklus</v>
      </c>
      <c r="C6" s="111" t="str">
        <f>IF(B6="Gebäudelebenszyklus","LZ",IF(B6="Gebäudebetrieb","B",IF(B6="Gebäudekonstruktion","K","")))</f>
        <v>LZ</v>
      </c>
      <c r="D6" s="101" t="s">
        <v>40</v>
      </c>
      <c r="E6" s="101" t="str">
        <f>IF(C6="LZ","Gebäudekonstruktion und Gebäudebetrieb",IF(C6="K","Gebäudekonstruktion sowie Gebäudebetrieb (Energieträger Wärme u/o PV u/o Solarthermie)",IF(C6="B","Gebäudebetrieb",0)))</f>
        <v>Gebäudekonstruktion und Gebäudebetrieb</v>
      </c>
      <c r="F6" s="101" t="s">
        <v>27</v>
      </c>
      <c r="G6" s="109">
        <f>G4*0.4</f>
        <v>16.8</v>
      </c>
      <c r="H6" s="106">
        <f>G6*C7</f>
        <v>13238.400000000001</v>
      </c>
      <c r="I6" s="112"/>
      <c r="J6" s="101" t="s">
        <v>54</v>
      </c>
      <c r="K6" s="101" t="s">
        <v>47</v>
      </c>
      <c r="L6" s="101">
        <v>1.383E-2</v>
      </c>
      <c r="M6" s="101" t="s">
        <v>289</v>
      </c>
      <c r="BK6" s="101" t="s">
        <v>11</v>
      </c>
      <c r="BR6" s="101">
        <v>1.3</v>
      </c>
      <c r="BS6" s="101">
        <f t="shared" si="0"/>
        <v>0.71500000000000008</v>
      </c>
      <c r="BT6" s="101">
        <f t="shared" si="1"/>
        <v>0.90999999999999992</v>
      </c>
    </row>
    <row r="7" spans="1:73" ht="18" x14ac:dyDescent="0.35">
      <c r="A7" s="108" t="s">
        <v>211</v>
      </c>
      <c r="B7" s="113">
        <f>Eingabe!C22</f>
        <v>1000</v>
      </c>
      <c r="C7" s="150">
        <v>788</v>
      </c>
      <c r="D7" s="101" t="s">
        <v>26</v>
      </c>
      <c r="I7" s="150"/>
      <c r="J7" s="101" t="s">
        <v>55</v>
      </c>
      <c r="K7" s="101" t="s">
        <v>4</v>
      </c>
      <c r="L7" s="101">
        <v>0.27689999999999998</v>
      </c>
      <c r="M7" s="101" t="s">
        <v>289</v>
      </c>
      <c r="BK7" s="101" t="s">
        <v>12</v>
      </c>
      <c r="BR7" s="101">
        <v>1.4</v>
      </c>
      <c r="BS7" s="101">
        <f t="shared" si="0"/>
        <v>0.77</v>
      </c>
      <c r="BT7" s="101">
        <f t="shared" si="1"/>
        <v>0.97999999999999987</v>
      </c>
    </row>
    <row r="8" spans="1:73" ht="18" x14ac:dyDescent="0.35">
      <c r="A8" s="108" t="s">
        <v>226</v>
      </c>
      <c r="B8" s="105">
        <f>IF(B7=0,C7,B7)</f>
        <v>1000</v>
      </c>
      <c r="C8" s="150"/>
      <c r="D8" s="101" t="s">
        <v>27</v>
      </c>
      <c r="J8" s="101" t="s">
        <v>56</v>
      </c>
      <c r="K8" s="101" t="s">
        <v>224</v>
      </c>
      <c r="L8" s="101">
        <v>0.1666</v>
      </c>
      <c r="M8" s="101" t="s">
        <v>289</v>
      </c>
      <c r="BK8" s="101" t="s">
        <v>7</v>
      </c>
      <c r="BR8" s="101">
        <v>2.7</v>
      </c>
      <c r="BS8" s="101">
        <f t="shared" si="0"/>
        <v>1.4850000000000003</v>
      </c>
      <c r="BT8" s="101">
        <f t="shared" si="1"/>
        <v>1.89</v>
      </c>
    </row>
    <row r="9" spans="1:73" ht="18" x14ac:dyDescent="0.35">
      <c r="A9" s="108"/>
      <c r="C9" s="150"/>
      <c r="D9" s="101" t="s">
        <v>28</v>
      </c>
      <c r="J9" s="101" t="s">
        <v>57</v>
      </c>
      <c r="K9" s="101" t="s">
        <v>225</v>
      </c>
      <c r="L9" s="101">
        <v>0.1212</v>
      </c>
      <c r="M9" s="101" t="s">
        <v>289</v>
      </c>
      <c r="BK9" s="101" t="s">
        <v>13</v>
      </c>
      <c r="BR9" s="101">
        <v>1.8</v>
      </c>
      <c r="BS9" s="101">
        <f t="shared" si="0"/>
        <v>0.9900000000000001</v>
      </c>
      <c r="BT9" s="101">
        <f t="shared" si="1"/>
        <v>1.26</v>
      </c>
    </row>
    <row r="10" spans="1:73" x14ac:dyDescent="0.3">
      <c r="A10" s="108"/>
      <c r="C10" s="150"/>
      <c r="D10" s="101" t="s">
        <v>29</v>
      </c>
    </row>
    <row r="11" spans="1:73" x14ac:dyDescent="0.3">
      <c r="A11" s="108"/>
      <c r="C11" s="150"/>
      <c r="D11" s="101" t="s">
        <v>0</v>
      </c>
      <c r="H11" s="149" t="s">
        <v>207</v>
      </c>
    </row>
    <row r="12" spans="1:73" x14ac:dyDescent="0.3">
      <c r="A12" s="108"/>
      <c r="C12" s="150"/>
      <c r="D12" s="101" t="s">
        <v>2</v>
      </c>
      <c r="F12" s="168" t="s">
        <v>247</v>
      </c>
      <c r="G12" s="168"/>
      <c r="H12" s="168"/>
      <c r="J12" s="168" t="s">
        <v>60</v>
      </c>
      <c r="K12" s="168"/>
      <c r="L12" s="168"/>
      <c r="M12" s="168"/>
      <c r="X12" s="102"/>
      <c r="AE12" s="102"/>
    </row>
    <row r="13" spans="1:73" ht="18" x14ac:dyDescent="0.35">
      <c r="A13" s="114" t="s">
        <v>58</v>
      </c>
      <c r="B13" s="115" t="str">
        <f>Eingabe!C34</f>
        <v>Stahlbeton</v>
      </c>
      <c r="C13" s="150"/>
      <c r="D13" s="101" t="s">
        <v>3</v>
      </c>
      <c r="F13" s="101" t="s">
        <v>40</v>
      </c>
      <c r="G13" s="149">
        <v>39</v>
      </c>
      <c r="H13" s="106">
        <f>G13*C7</f>
        <v>30732</v>
      </c>
      <c r="J13" s="101" t="s">
        <v>61</v>
      </c>
      <c r="K13" s="101" t="s">
        <v>1</v>
      </c>
      <c r="L13" s="101">
        <v>0.53200000000000003</v>
      </c>
      <c r="M13" s="101" t="s">
        <v>289</v>
      </c>
      <c r="X13" s="102"/>
    </row>
    <row r="14" spans="1:73" x14ac:dyDescent="0.3">
      <c r="A14" s="114" t="s">
        <v>191</v>
      </c>
      <c r="B14" s="115" t="str">
        <f>Eingabe!C37</f>
        <v>Effizienzhaus 40</v>
      </c>
      <c r="C14" s="150"/>
      <c r="D14" s="101" t="s">
        <v>47</v>
      </c>
      <c r="F14" s="101" t="s">
        <v>26</v>
      </c>
      <c r="G14" s="149">
        <f>ROUND(G13*0.55,0)</f>
        <v>21</v>
      </c>
      <c r="H14" s="106">
        <f>G14*C7</f>
        <v>16548</v>
      </c>
    </row>
    <row r="15" spans="1:73" x14ac:dyDescent="0.3">
      <c r="A15" s="114" t="s">
        <v>190</v>
      </c>
      <c r="B15" s="115" t="str">
        <f>Eingabe!C40</f>
        <v>Erhöhte Anforderung</v>
      </c>
      <c r="C15" s="150"/>
      <c r="D15" s="101" t="s">
        <v>4</v>
      </c>
      <c r="F15" s="101" t="s">
        <v>27</v>
      </c>
      <c r="G15" s="149">
        <f>ROUND(G13*0.4,0)</f>
        <v>16</v>
      </c>
      <c r="H15" s="106">
        <f>G15*C7</f>
        <v>12608</v>
      </c>
    </row>
    <row r="16" spans="1:73" x14ac:dyDescent="0.3">
      <c r="A16" s="108" t="s">
        <v>215</v>
      </c>
      <c r="B16" s="105">
        <f>Eingabe!C25</f>
        <v>15</v>
      </c>
      <c r="C16" s="150">
        <v>27</v>
      </c>
      <c r="D16" s="101" t="s">
        <v>224</v>
      </c>
    </row>
    <row r="17" spans="1:34" x14ac:dyDescent="0.3">
      <c r="A17" s="114" t="s">
        <v>216</v>
      </c>
      <c r="B17" s="115">
        <f>IF(B16=0,C16,B16)</f>
        <v>15</v>
      </c>
      <c r="C17" s="150"/>
      <c r="D17" s="101" t="s">
        <v>225</v>
      </c>
      <c r="H17" s="149"/>
      <c r="Z17" s="102"/>
    </row>
    <row r="18" spans="1:34" x14ac:dyDescent="0.3">
      <c r="C18" s="150"/>
      <c r="D18" s="101" t="s">
        <v>46</v>
      </c>
      <c r="E18" s="104"/>
      <c r="F18" s="168" t="s">
        <v>186</v>
      </c>
      <c r="G18" s="168"/>
      <c r="H18" s="168"/>
      <c r="J18" s="102"/>
    </row>
    <row r="19" spans="1:34" x14ac:dyDescent="0.3">
      <c r="C19" s="150"/>
      <c r="D19" s="101" t="s">
        <v>48</v>
      </c>
      <c r="F19" s="101">
        <v>20</v>
      </c>
      <c r="G19" s="101" t="s">
        <v>69</v>
      </c>
      <c r="H19" s="101" t="s">
        <v>187</v>
      </c>
      <c r="J19" s="108"/>
      <c r="K19" s="108"/>
      <c r="L19" s="108"/>
      <c r="M19" s="108"/>
    </row>
    <row r="20" spans="1:34" x14ac:dyDescent="0.3">
      <c r="C20" s="150"/>
      <c r="D20" s="101" t="s">
        <v>49</v>
      </c>
      <c r="F20" s="101">
        <v>788</v>
      </c>
      <c r="G20" s="101" t="s">
        <v>69</v>
      </c>
      <c r="H20" s="101" t="s">
        <v>144</v>
      </c>
      <c r="J20" s="108"/>
      <c r="K20" s="108"/>
      <c r="L20" s="108"/>
      <c r="M20" s="108"/>
    </row>
    <row r="21" spans="1:34" x14ac:dyDescent="0.3">
      <c r="A21" s="114" t="s">
        <v>159</v>
      </c>
      <c r="B21" s="115">
        <v>50</v>
      </c>
      <c r="C21" s="150"/>
      <c r="D21" s="101" t="s">
        <v>50</v>
      </c>
      <c r="F21" s="168" t="s">
        <v>170</v>
      </c>
      <c r="G21" s="168"/>
      <c r="H21" s="168"/>
      <c r="J21" s="108"/>
      <c r="K21" s="108"/>
      <c r="L21" s="108"/>
      <c r="M21" s="108"/>
    </row>
    <row r="22" spans="1:34" x14ac:dyDescent="0.3">
      <c r="A22" s="114" t="s">
        <v>59</v>
      </c>
      <c r="B22" s="115" t="str">
        <f>Eingabe!G34</f>
        <v>Luft-WP (Strom)</v>
      </c>
      <c r="C22" s="150"/>
      <c r="D22" s="101" t="s">
        <v>1</v>
      </c>
      <c r="G22" s="116"/>
      <c r="AD22" s="117"/>
      <c r="AE22" s="117"/>
      <c r="AF22" s="117"/>
      <c r="AG22" s="117"/>
      <c r="AH22" s="117"/>
    </row>
    <row r="23" spans="1:34" x14ac:dyDescent="0.3">
      <c r="A23" s="108" t="s">
        <v>218</v>
      </c>
      <c r="B23" s="113">
        <f>Eingabe!G37</f>
        <v>13000</v>
      </c>
      <c r="C23" s="112">
        <f>IF(B7="",VLOOKUP(Hintergrund!B14,Hintergrund!F4:G6,2,FALSE)*B35,VLOOKUP(Hintergrund!B14,Hintergrund!F4:G6,2,FALSE)*B35)</f>
        <v>16800</v>
      </c>
      <c r="D23" s="101" t="s">
        <v>51</v>
      </c>
      <c r="G23" s="118">
        <f>7249/3.6/20</f>
        <v>100.68055555555556</v>
      </c>
      <c r="H23" s="101" t="s">
        <v>228</v>
      </c>
    </row>
    <row r="24" spans="1:34" x14ac:dyDescent="0.3">
      <c r="A24" s="114" t="s">
        <v>248</v>
      </c>
      <c r="B24" s="119">
        <f>IF(B23=0,C23,IF(G31&gt;B23,0,B23-G31))</f>
        <v>6955</v>
      </c>
      <c r="C24" s="112"/>
      <c r="D24" s="101" t="s">
        <v>209</v>
      </c>
      <c r="G24" s="118"/>
    </row>
    <row r="25" spans="1:34" x14ac:dyDescent="0.3">
      <c r="A25" s="108" t="s">
        <v>219</v>
      </c>
      <c r="B25" s="113">
        <f>Eingabe!G40</f>
        <v>7500</v>
      </c>
      <c r="C25" s="112">
        <f>IF(B7="",VLOOKUP(Hintergrund!B14,Hintergrund!F13:G15,2,FALSE)*B35,VLOOKUP(Hintergrund!B14,Hintergrund!F13:G15,2,FALSE)*B35)</f>
        <v>16000</v>
      </c>
      <c r="D25" s="101" t="s">
        <v>210</v>
      </c>
      <c r="G25" s="119">
        <f>B27*G23</f>
        <v>1510.2083333333333</v>
      </c>
      <c r="H25" s="102" t="s">
        <v>171</v>
      </c>
    </row>
    <row r="26" spans="1:34" x14ac:dyDescent="0.3">
      <c r="A26" s="114" t="s">
        <v>220</v>
      </c>
      <c r="B26" s="119">
        <f>IF(B25=0,C25,B25)</f>
        <v>7500</v>
      </c>
      <c r="C26" s="150"/>
      <c r="D26" s="101" t="s">
        <v>133</v>
      </c>
    </row>
    <row r="27" spans="1:34" x14ac:dyDescent="0.3">
      <c r="A27" s="114" t="s">
        <v>160</v>
      </c>
      <c r="B27" s="115">
        <f>Eingabe!G46</f>
        <v>15</v>
      </c>
      <c r="C27" s="150"/>
      <c r="D27" s="101" t="s">
        <v>232</v>
      </c>
      <c r="J27" s="108"/>
      <c r="K27" s="108"/>
    </row>
    <row r="28" spans="1:34" x14ac:dyDescent="0.3">
      <c r="A28" s="108" t="s">
        <v>194</v>
      </c>
      <c r="B28" s="105" t="str">
        <f>Eingabe!G47</f>
        <v>ohne</v>
      </c>
      <c r="C28" s="150"/>
      <c r="L28" s="118"/>
    </row>
    <row r="29" spans="1:34" x14ac:dyDescent="0.3">
      <c r="A29" s="114" t="s">
        <v>217</v>
      </c>
      <c r="B29" s="115">
        <f>Eingabe!G51</f>
        <v>15</v>
      </c>
      <c r="C29" s="150"/>
      <c r="F29" s="168" t="s">
        <v>270</v>
      </c>
      <c r="G29" s="168"/>
      <c r="H29" s="168"/>
      <c r="L29" s="118"/>
    </row>
    <row r="30" spans="1:34" x14ac:dyDescent="0.3">
      <c r="A30" s="108"/>
      <c r="C30" s="150"/>
      <c r="G30" s="101">
        <v>403</v>
      </c>
      <c r="H30" s="101" t="s">
        <v>188</v>
      </c>
      <c r="I30" s="101" t="s">
        <v>271</v>
      </c>
      <c r="J30" s="108"/>
    </row>
    <row r="31" spans="1:34" x14ac:dyDescent="0.3">
      <c r="A31" s="114" t="s">
        <v>167</v>
      </c>
      <c r="B31" s="115"/>
      <c r="C31" s="150"/>
      <c r="G31" s="119">
        <f>B29*G30</f>
        <v>6045</v>
      </c>
      <c r="H31" s="102" t="s">
        <v>20</v>
      </c>
      <c r="I31" s="101" t="s">
        <v>273</v>
      </c>
      <c r="J31" s="108"/>
    </row>
    <row r="32" spans="1:34" x14ac:dyDescent="0.3">
      <c r="A32" s="108" t="s">
        <v>290</v>
      </c>
      <c r="B32" s="101">
        <v>3.4495412844036698E-2</v>
      </c>
      <c r="C32" s="150"/>
      <c r="G32" s="116"/>
      <c r="J32" s="108"/>
    </row>
    <row r="33" spans="1:14" x14ac:dyDescent="0.3">
      <c r="A33" s="108" t="s">
        <v>168</v>
      </c>
      <c r="B33" s="113">
        <f>B17/B32</f>
        <v>434.84042553191489</v>
      </c>
      <c r="C33" s="150"/>
      <c r="J33" s="108"/>
    </row>
    <row r="34" spans="1:14" x14ac:dyDescent="0.3">
      <c r="A34" s="108" t="s">
        <v>158</v>
      </c>
      <c r="B34" s="120">
        <f>B33/B8</f>
        <v>0.43484042553191488</v>
      </c>
      <c r="C34" s="150"/>
      <c r="J34" s="108"/>
    </row>
    <row r="35" spans="1:14" x14ac:dyDescent="0.3">
      <c r="A35" s="114" t="s">
        <v>227</v>
      </c>
      <c r="B35" s="119">
        <f>IF(B34&lt;0.8,B8,IF(B34&gt;1.2,B33,B8))</f>
        <v>1000</v>
      </c>
      <c r="C35" s="150"/>
      <c r="K35" s="118"/>
    </row>
    <row r="36" spans="1:14" x14ac:dyDescent="0.3">
      <c r="B36" s="101"/>
      <c r="C36" s="150"/>
      <c r="K36" s="118"/>
    </row>
    <row r="37" spans="1:14" x14ac:dyDescent="0.3">
      <c r="B37" s="101"/>
    </row>
    <row r="38" spans="1:14" x14ac:dyDescent="0.3">
      <c r="B38" s="101"/>
    </row>
    <row r="39" spans="1:14" x14ac:dyDescent="0.3">
      <c r="A39" s="102" t="s">
        <v>302</v>
      </c>
      <c r="B39" s="101"/>
      <c r="D39" s="102" t="s">
        <v>169</v>
      </c>
    </row>
    <row r="40" spans="1:14" x14ac:dyDescent="0.3">
      <c r="A40" s="168" t="s">
        <v>62</v>
      </c>
      <c r="B40" s="168"/>
      <c r="D40" s="168" t="s">
        <v>163</v>
      </c>
      <c r="E40" s="168"/>
      <c r="L40" s="121"/>
      <c r="M40" s="121"/>
      <c r="N40" s="121"/>
    </row>
    <row r="41" spans="1:14" ht="18" x14ac:dyDescent="0.35">
      <c r="A41" s="118">
        <f>B24*B21*VLOOKUP(B22,K4:L10,2,FALSE)</f>
        <v>57935.15</v>
      </c>
      <c r="B41" s="101" t="s">
        <v>145</v>
      </c>
      <c r="D41" s="122">
        <f>A41/B35/B21</f>
        <v>1.158703</v>
      </c>
      <c r="E41" s="101" t="s">
        <v>291</v>
      </c>
      <c r="L41" s="149"/>
      <c r="M41" s="149"/>
      <c r="N41" s="149"/>
    </row>
    <row r="42" spans="1:14" x14ac:dyDescent="0.3">
      <c r="A42" s="116">
        <f>A41/1000</f>
        <v>57.93515</v>
      </c>
      <c r="B42" s="101" t="s">
        <v>146</v>
      </c>
      <c r="M42" s="149"/>
      <c r="N42" s="149"/>
    </row>
    <row r="43" spans="1:14" x14ac:dyDescent="0.3">
      <c r="A43" s="168" t="s">
        <v>63</v>
      </c>
      <c r="B43" s="168"/>
      <c r="D43" s="168" t="s">
        <v>164</v>
      </c>
      <c r="E43" s="168"/>
      <c r="M43" s="149"/>
      <c r="N43" s="149"/>
    </row>
    <row r="44" spans="1:14" ht="18" x14ac:dyDescent="0.35">
      <c r="A44" s="118">
        <f>B26*B21*L13</f>
        <v>199500</v>
      </c>
      <c r="B44" s="101" t="s">
        <v>145</v>
      </c>
      <c r="D44" s="122">
        <f>A44/B35/B21</f>
        <v>3.99</v>
      </c>
      <c r="E44" s="101" t="s">
        <v>291</v>
      </c>
      <c r="G44" s="123"/>
      <c r="M44" s="149"/>
      <c r="N44" s="149"/>
    </row>
    <row r="45" spans="1:14" x14ac:dyDescent="0.3">
      <c r="A45" s="116">
        <f>A44/1000</f>
        <v>199.5</v>
      </c>
      <c r="B45" s="101" t="s">
        <v>146</v>
      </c>
      <c r="L45" s="149"/>
      <c r="M45" s="149"/>
      <c r="N45" s="149"/>
    </row>
    <row r="46" spans="1:14" x14ac:dyDescent="0.3">
      <c r="A46" s="168" t="s">
        <v>72</v>
      </c>
      <c r="B46" s="168"/>
      <c r="D46" s="168" t="s">
        <v>165</v>
      </c>
      <c r="E46" s="168"/>
    </row>
    <row r="47" spans="1:14" ht="18" x14ac:dyDescent="0.35">
      <c r="A47" s="118">
        <f>A41+A44</f>
        <v>257435.15</v>
      </c>
      <c r="B47" s="101" t="s">
        <v>145</v>
      </c>
      <c r="D47" s="122">
        <f>A47/B35/B21</f>
        <v>5.1487030000000003</v>
      </c>
      <c r="E47" s="101" t="s">
        <v>291</v>
      </c>
    </row>
    <row r="48" spans="1:14" x14ac:dyDescent="0.3">
      <c r="A48" s="116">
        <f>A47/1000</f>
        <v>257.43515000000002</v>
      </c>
      <c r="B48" s="101" t="s">
        <v>146</v>
      </c>
    </row>
    <row r="49" spans="1:34" x14ac:dyDescent="0.3">
      <c r="A49" s="168" t="s">
        <v>64</v>
      </c>
      <c r="B49" s="168"/>
      <c r="D49" s="168" t="s">
        <v>166</v>
      </c>
      <c r="E49" s="168"/>
    </row>
    <row r="50" spans="1:34" ht="18" x14ac:dyDescent="0.35">
      <c r="A50" s="118">
        <f>-1*G25*L13*B21</f>
        <v>-40171.541666666664</v>
      </c>
      <c r="B50" s="101" t="s">
        <v>145</v>
      </c>
      <c r="D50" s="122">
        <f>A50/B35/B21</f>
        <v>-0.80343083333333321</v>
      </c>
      <c r="E50" s="101" t="s">
        <v>291</v>
      </c>
      <c r="M50" s="149"/>
      <c r="N50" s="149"/>
    </row>
    <row r="51" spans="1:34" x14ac:dyDescent="0.3">
      <c r="A51" s="116">
        <f>A50/1000</f>
        <v>-40.171541666666663</v>
      </c>
      <c r="B51" s="101" t="s">
        <v>146</v>
      </c>
      <c r="M51" s="149"/>
      <c r="N51" s="149"/>
    </row>
    <row r="52" spans="1:34" x14ac:dyDescent="0.3">
      <c r="A52" s="102"/>
      <c r="B52" s="101"/>
      <c r="D52" s="168" t="s">
        <v>179</v>
      </c>
      <c r="E52" s="168"/>
      <c r="M52" s="149"/>
      <c r="N52" s="149"/>
    </row>
    <row r="53" spans="1:34" ht="18" x14ac:dyDescent="0.35">
      <c r="B53" s="101"/>
      <c r="D53" s="122">
        <f>D47+D50</f>
        <v>4.3452721666666667</v>
      </c>
      <c r="E53" s="101" t="s">
        <v>291</v>
      </c>
    </row>
    <row r="54" spans="1:34" x14ac:dyDescent="0.3">
      <c r="B54" s="101"/>
    </row>
    <row r="55" spans="1:34" x14ac:dyDescent="0.3">
      <c r="B55" s="101"/>
    </row>
    <row r="57" spans="1:34" x14ac:dyDescent="0.3">
      <c r="A57" s="169" t="s">
        <v>128</v>
      </c>
      <c r="B57" s="169"/>
    </row>
    <row r="60" spans="1:34" x14ac:dyDescent="0.3">
      <c r="X60" s="102" t="s">
        <v>198</v>
      </c>
    </row>
    <row r="61" spans="1:34" s="125" customFormat="1" ht="38.25" x14ac:dyDescent="0.3">
      <c r="A61" s="124" t="s">
        <v>292</v>
      </c>
      <c r="B61" s="125" t="s">
        <v>258</v>
      </c>
      <c r="C61" s="125" t="s">
        <v>229</v>
      </c>
      <c r="D61" s="125" t="s">
        <v>133</v>
      </c>
      <c r="E61" s="125" t="s">
        <v>82</v>
      </c>
      <c r="F61" s="125" t="s">
        <v>83</v>
      </c>
      <c r="G61" s="125" t="s">
        <v>85</v>
      </c>
      <c r="H61" s="125" t="s">
        <v>84</v>
      </c>
      <c r="I61" s="101"/>
      <c r="J61" s="126" t="s">
        <v>0</v>
      </c>
      <c r="K61" s="126" t="s">
        <v>1</v>
      </c>
      <c r="L61" s="126" t="s">
        <v>184</v>
      </c>
      <c r="M61" s="126" t="s">
        <v>134</v>
      </c>
      <c r="N61" s="126" t="s">
        <v>135</v>
      </c>
      <c r="O61" s="126" t="s">
        <v>136</v>
      </c>
      <c r="P61" s="126" t="s">
        <v>137</v>
      </c>
      <c r="Q61" s="126" t="s">
        <v>138</v>
      </c>
      <c r="R61" s="126" t="s">
        <v>139</v>
      </c>
      <c r="S61" s="126" t="s">
        <v>140</v>
      </c>
      <c r="T61" s="126" t="s">
        <v>141</v>
      </c>
      <c r="U61" s="126" t="s">
        <v>199</v>
      </c>
      <c r="X61" s="124" t="s">
        <v>292</v>
      </c>
      <c r="Y61" s="125" t="s">
        <v>133</v>
      </c>
      <c r="Z61" s="125" t="s">
        <v>134</v>
      </c>
      <c r="AA61" s="125" t="s">
        <v>135</v>
      </c>
      <c r="AB61" s="125" t="s">
        <v>136</v>
      </c>
      <c r="AC61" s="125" t="s">
        <v>137</v>
      </c>
      <c r="AD61" s="125" t="s">
        <v>138</v>
      </c>
      <c r="AE61" s="125" t="s">
        <v>139</v>
      </c>
      <c r="AF61" s="125" t="s">
        <v>140</v>
      </c>
      <c r="AG61" s="125" t="s">
        <v>141</v>
      </c>
      <c r="AH61" s="125" t="s">
        <v>199</v>
      </c>
    </row>
    <row r="62" spans="1:34" ht="33" x14ac:dyDescent="0.3">
      <c r="A62" s="127" t="s">
        <v>200</v>
      </c>
      <c r="B62" s="128">
        <f>B90</f>
        <v>11.016994578586687</v>
      </c>
      <c r="C62" s="116"/>
      <c r="D62" s="116"/>
      <c r="E62" s="116"/>
      <c r="F62" s="116"/>
      <c r="G62" s="116"/>
      <c r="H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X62" s="101" t="s">
        <v>196</v>
      </c>
      <c r="Y62" s="116">
        <f>B93</f>
        <v>6.6717224119200189</v>
      </c>
      <c r="Z62" s="116"/>
      <c r="AA62" s="116"/>
      <c r="AB62" s="116"/>
      <c r="AC62" s="116"/>
      <c r="AD62" s="116"/>
      <c r="AE62" s="116"/>
      <c r="AF62" s="116"/>
      <c r="AG62" s="116"/>
      <c r="AH62" s="116">
        <f>B137</f>
        <v>5.0806670104801421</v>
      </c>
    </row>
    <row r="63" spans="1:34" ht="33" x14ac:dyDescent="0.3">
      <c r="A63" s="127" t="s">
        <v>201</v>
      </c>
      <c r="B63" s="128"/>
      <c r="C63" s="116">
        <f>B92</f>
        <v>4.3452721666666667</v>
      </c>
      <c r="D63" s="116">
        <f>B93</f>
        <v>6.6717224119200189</v>
      </c>
      <c r="E63" s="116"/>
      <c r="F63" s="116"/>
      <c r="G63" s="116"/>
      <c r="H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X63" s="101" t="s">
        <v>197</v>
      </c>
      <c r="Y63" s="116"/>
      <c r="Z63" s="116">
        <f>B104</f>
        <v>0.82467057631484353</v>
      </c>
      <c r="AA63" s="116">
        <f>B105</f>
        <v>1.7456213184532696</v>
      </c>
      <c r="AB63" s="116">
        <f>B106</f>
        <v>0.83893639676288345</v>
      </c>
      <c r="AC63" s="116">
        <f>B107</f>
        <v>2.091549678181456</v>
      </c>
      <c r="AD63" s="116">
        <f>B108</f>
        <v>0.43533090008675812</v>
      </c>
      <c r="AE63" s="116">
        <f>B109</f>
        <v>0.42407293812080848</v>
      </c>
      <c r="AF63" s="116">
        <f>B110</f>
        <v>6.6164603999999988E-2</v>
      </c>
      <c r="AG63" s="116">
        <f>B111</f>
        <v>0.24537599999999996</v>
      </c>
      <c r="AH63" s="116"/>
    </row>
    <row r="64" spans="1:34" ht="33" x14ac:dyDescent="0.3">
      <c r="A64" s="127" t="s">
        <v>202</v>
      </c>
      <c r="B64" s="128"/>
      <c r="C64" s="116">
        <f>B92</f>
        <v>4.3452721666666667</v>
      </c>
      <c r="D64" s="116">
        <v>0</v>
      </c>
      <c r="E64" s="116">
        <f>B94</f>
        <v>5.1168110974237146</v>
      </c>
      <c r="F64" s="116">
        <f>B95</f>
        <v>1.2173243250652255</v>
      </c>
      <c r="G64" s="116">
        <f>B96</f>
        <v>1.7769123244286196</v>
      </c>
      <c r="H64" s="116">
        <f>B97</f>
        <v>-1.4393253349975408</v>
      </c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</row>
    <row r="65" spans="1:29" ht="33" x14ac:dyDescent="0.3">
      <c r="A65" s="127" t="s">
        <v>203</v>
      </c>
      <c r="B65" s="128"/>
      <c r="C65" s="116"/>
      <c r="D65" s="116"/>
      <c r="E65" s="116"/>
      <c r="F65" s="116"/>
      <c r="G65" s="116"/>
      <c r="H65" s="116"/>
      <c r="J65" s="116"/>
      <c r="K65" s="116"/>
      <c r="L65" s="116"/>
      <c r="M65" s="116">
        <f>B104</f>
        <v>0.82467057631484353</v>
      </c>
      <c r="N65" s="116">
        <f>B105</f>
        <v>1.7456213184532696</v>
      </c>
      <c r="O65" s="116">
        <f>B106</f>
        <v>0.83893639676288345</v>
      </c>
      <c r="P65" s="116">
        <f>B107</f>
        <v>2.091549678181456</v>
      </c>
      <c r="Q65" s="116">
        <f>B108</f>
        <v>0.43533090008675812</v>
      </c>
      <c r="R65" s="116">
        <f>B109</f>
        <v>0.42407293812080848</v>
      </c>
      <c r="S65" s="116">
        <f>B110</f>
        <v>6.6164603999999988E-2</v>
      </c>
      <c r="T65" s="116">
        <f>B111</f>
        <v>0.24537599999999996</v>
      </c>
      <c r="U65" s="116">
        <f>B137</f>
        <v>5.0806670104801421</v>
      </c>
    </row>
    <row r="66" spans="1:29" ht="33" x14ac:dyDescent="0.3">
      <c r="A66" s="127" t="s">
        <v>204</v>
      </c>
      <c r="B66" s="128"/>
      <c r="C66" s="116"/>
      <c r="D66" s="116"/>
      <c r="E66" s="116"/>
      <c r="F66" s="116"/>
      <c r="G66" s="116"/>
      <c r="H66" s="116"/>
      <c r="J66" s="116">
        <f>B99</f>
        <v>1.158703</v>
      </c>
      <c r="K66" s="116">
        <f>B100</f>
        <v>3.99</v>
      </c>
      <c r="L66" s="116">
        <f>B101</f>
        <v>-0.80343083333333321</v>
      </c>
      <c r="M66" s="116"/>
      <c r="N66" s="116"/>
      <c r="O66" s="116"/>
      <c r="P66" s="116"/>
      <c r="Q66" s="116"/>
      <c r="R66" s="116"/>
      <c r="S66" s="116"/>
      <c r="T66" s="116"/>
      <c r="U66" s="116"/>
    </row>
    <row r="69" spans="1:29" s="125" customFormat="1" ht="38.25" x14ac:dyDescent="0.3">
      <c r="A69" s="129" t="s">
        <v>293</v>
      </c>
      <c r="B69" s="125" t="s">
        <v>258</v>
      </c>
      <c r="C69" s="125" t="s">
        <v>132</v>
      </c>
      <c r="D69" s="125" t="s">
        <v>133</v>
      </c>
      <c r="E69" s="125" t="s">
        <v>82</v>
      </c>
      <c r="F69" s="125" t="s">
        <v>83</v>
      </c>
      <c r="G69" s="125" t="s">
        <v>85</v>
      </c>
      <c r="H69" s="125" t="s">
        <v>84</v>
      </c>
      <c r="I69" s="101"/>
      <c r="J69" s="126" t="s">
        <v>0</v>
      </c>
      <c r="K69" s="126" t="s">
        <v>1</v>
      </c>
      <c r="L69" s="126"/>
      <c r="M69" s="126" t="s">
        <v>134</v>
      </c>
      <c r="N69" s="126" t="s">
        <v>135</v>
      </c>
      <c r="O69" s="126" t="s">
        <v>136</v>
      </c>
      <c r="P69" s="126" t="s">
        <v>137</v>
      </c>
      <c r="Q69" s="126" t="s">
        <v>138</v>
      </c>
      <c r="R69" s="126" t="s">
        <v>139</v>
      </c>
      <c r="S69" s="126" t="s">
        <v>140</v>
      </c>
      <c r="T69" s="126" t="s">
        <v>141</v>
      </c>
      <c r="U69" s="126" t="s">
        <v>195</v>
      </c>
    </row>
    <row r="70" spans="1:29" x14ac:dyDescent="0.3">
      <c r="A70" s="101" t="s">
        <v>129</v>
      </c>
      <c r="B70" s="113">
        <f>E90</f>
        <v>550.84972892933433</v>
      </c>
      <c r="C70" s="118"/>
      <c r="D70" s="118"/>
      <c r="E70" s="118"/>
      <c r="F70" s="118"/>
      <c r="G70" s="118"/>
      <c r="H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</row>
    <row r="71" spans="1:29" x14ac:dyDescent="0.3">
      <c r="A71" s="101" t="s">
        <v>131</v>
      </c>
      <c r="B71" s="113"/>
      <c r="C71" s="118">
        <f>E91</f>
        <v>257.43515000000002</v>
      </c>
      <c r="D71" s="118">
        <f>E93</f>
        <v>333.58612059600097</v>
      </c>
      <c r="E71" s="118"/>
      <c r="F71" s="118"/>
      <c r="G71" s="118"/>
      <c r="H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</row>
    <row r="72" spans="1:29" x14ac:dyDescent="0.3">
      <c r="A72" s="101" t="s">
        <v>130</v>
      </c>
      <c r="B72" s="113"/>
      <c r="C72" s="118">
        <f>E91</f>
        <v>257.43515000000002</v>
      </c>
      <c r="D72" s="118">
        <f t="shared" ref="D72" si="2">D64*$G$27*$G$29/1000</f>
        <v>0</v>
      </c>
      <c r="E72" s="118">
        <f>E94</f>
        <v>255.84055487118573</v>
      </c>
      <c r="F72" s="118">
        <f>E95</f>
        <v>60.866216253261271</v>
      </c>
      <c r="G72" s="118">
        <f>E96</f>
        <v>88.845616221430973</v>
      </c>
      <c r="H72" s="118">
        <f>E97</f>
        <v>-71.966266749877036</v>
      </c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</row>
    <row r="73" spans="1:29" x14ac:dyDescent="0.3">
      <c r="A73" s="101" t="s">
        <v>142</v>
      </c>
      <c r="B73" s="113"/>
      <c r="C73" s="118"/>
      <c r="D73" s="118"/>
      <c r="E73" s="118"/>
      <c r="F73" s="118"/>
      <c r="G73" s="118"/>
      <c r="H73" s="118"/>
      <c r="J73" s="118"/>
      <c r="K73" s="118"/>
      <c r="L73" s="118"/>
      <c r="M73" s="118">
        <f>E104</f>
        <v>41.233528815742176</v>
      </c>
      <c r="N73" s="118">
        <f>E105</f>
        <v>87.281065922663487</v>
      </c>
      <c r="O73" s="118">
        <f>E106</f>
        <v>41.946819838144172</v>
      </c>
      <c r="P73" s="118">
        <f>E107</f>
        <v>104.5774839090728</v>
      </c>
      <c r="Q73" s="118">
        <f>E108</f>
        <v>21.766545004337907</v>
      </c>
      <c r="R73" s="118">
        <f>E109</f>
        <v>21.203646906040426</v>
      </c>
      <c r="S73" s="118">
        <f>E110</f>
        <v>3.3082301999999992</v>
      </c>
      <c r="T73" s="118">
        <f>E111</f>
        <v>12.268799999999997</v>
      </c>
      <c r="U73" s="118">
        <f>B139</f>
        <v>200.1782802129176</v>
      </c>
    </row>
    <row r="74" spans="1:29" x14ac:dyDescent="0.3">
      <c r="A74" s="101" t="s">
        <v>143</v>
      </c>
      <c r="B74" s="113"/>
      <c r="C74" s="118"/>
      <c r="D74" s="118"/>
      <c r="E74" s="118"/>
      <c r="F74" s="118"/>
      <c r="G74" s="118"/>
      <c r="H74" s="118"/>
      <c r="J74" s="118">
        <f>E99</f>
        <v>57.93515</v>
      </c>
      <c r="K74" s="118">
        <f>E100</f>
        <v>199.5</v>
      </c>
      <c r="L74" s="118">
        <f>E101</f>
        <v>-40.171541666666663</v>
      </c>
      <c r="M74" s="118"/>
      <c r="N74" s="118"/>
      <c r="O74" s="118"/>
      <c r="P74" s="118"/>
      <c r="Q74" s="118"/>
      <c r="R74" s="118"/>
      <c r="S74" s="118"/>
      <c r="T74" s="118"/>
      <c r="U74" s="118"/>
    </row>
    <row r="80" spans="1:29" ht="76.5" x14ac:dyDescent="0.3">
      <c r="I80" s="124" t="s">
        <v>292</v>
      </c>
      <c r="J80" s="126" t="s">
        <v>133</v>
      </c>
      <c r="K80" s="126" t="s">
        <v>134</v>
      </c>
      <c r="L80" s="126" t="s">
        <v>135</v>
      </c>
      <c r="M80" s="126" t="s">
        <v>136</v>
      </c>
      <c r="N80" s="126" t="s">
        <v>137</v>
      </c>
      <c r="O80" s="126" t="s">
        <v>138</v>
      </c>
      <c r="P80" s="126" t="s">
        <v>139</v>
      </c>
      <c r="Q80" s="126" t="s">
        <v>140</v>
      </c>
      <c r="R80" s="126" t="s">
        <v>141</v>
      </c>
      <c r="S80" s="126" t="s">
        <v>255</v>
      </c>
      <c r="X80" s="124" t="s">
        <v>292</v>
      </c>
      <c r="Z80" s="127" t="s">
        <v>230</v>
      </c>
      <c r="AA80" s="125" t="s">
        <v>0</v>
      </c>
      <c r="AB80" s="125" t="s">
        <v>1</v>
      </c>
      <c r="AC80" s="125" t="s">
        <v>256</v>
      </c>
    </row>
    <row r="81" spans="1:29" ht="33" x14ac:dyDescent="0.3">
      <c r="I81" s="130" t="s">
        <v>205</v>
      </c>
      <c r="J81" s="116">
        <f>B93</f>
        <v>6.6717224119200189</v>
      </c>
      <c r="S81" s="116">
        <f>B137</f>
        <v>5.0806670104801421</v>
      </c>
      <c r="X81" s="127" t="s">
        <v>206</v>
      </c>
      <c r="Z81" s="116">
        <f>B92</f>
        <v>4.3452721666666667</v>
      </c>
      <c r="AA81" s="116"/>
    </row>
    <row r="82" spans="1:29" ht="33" x14ac:dyDescent="0.3">
      <c r="A82" s="130" t="s">
        <v>24</v>
      </c>
      <c r="I82" s="130" t="s">
        <v>203</v>
      </c>
      <c r="K82" s="116">
        <f>B104</f>
        <v>0.82467057631484353</v>
      </c>
      <c r="L82" s="116">
        <f>B105</f>
        <v>1.7456213184532696</v>
      </c>
      <c r="M82" s="116">
        <f>B106</f>
        <v>0.83893639676288345</v>
      </c>
      <c r="N82" s="116">
        <f>B107</f>
        <v>2.091549678181456</v>
      </c>
      <c r="O82" s="116">
        <f>B108</f>
        <v>0.43533090008675812</v>
      </c>
      <c r="P82" s="116">
        <f>B109</f>
        <v>0.42407293812080848</v>
      </c>
      <c r="Q82" s="116">
        <f>B110</f>
        <v>6.6164603999999988E-2</v>
      </c>
      <c r="R82" s="116">
        <f>B111</f>
        <v>0.24537599999999996</v>
      </c>
      <c r="S82" s="116">
        <f>B137</f>
        <v>5.0806670104801421</v>
      </c>
      <c r="X82" s="127" t="s">
        <v>204</v>
      </c>
      <c r="AA82" s="116">
        <f>B99</f>
        <v>1.158703</v>
      </c>
      <c r="AB82" s="116">
        <f>B100</f>
        <v>3.99</v>
      </c>
      <c r="AC82" s="116">
        <f>B101</f>
        <v>-0.80343083333333321</v>
      </c>
    </row>
    <row r="83" spans="1:29" x14ac:dyDescent="0.3">
      <c r="A83" s="102" t="str">
        <f>Datenbasis!A3</f>
        <v>Stahlbeton-Effizienzhaus 40-Erhöhte Anforderung</v>
      </c>
    </row>
    <row r="84" spans="1:29" x14ac:dyDescent="0.3">
      <c r="A84" s="102" t="str">
        <f>Datenbasis!A21</f>
        <v>Wärme-Luft-WP (Strom)-Flächenheizung</v>
      </c>
    </row>
    <row r="86" spans="1:29" x14ac:dyDescent="0.3">
      <c r="A86" s="104"/>
    </row>
    <row r="87" spans="1:29" x14ac:dyDescent="0.3">
      <c r="A87" s="104"/>
    </row>
    <row r="88" spans="1:29" ht="18" x14ac:dyDescent="0.35">
      <c r="B88" s="105" t="s">
        <v>161</v>
      </c>
      <c r="D88" s="150" t="s">
        <v>162</v>
      </c>
      <c r="E88" s="150" t="s">
        <v>294</v>
      </c>
    </row>
    <row r="89" spans="1:29" x14ac:dyDescent="0.3">
      <c r="A89" s="101" t="s">
        <v>193</v>
      </c>
      <c r="B89" s="128">
        <f>IF(C6="LZ",B91+B93,0)</f>
        <v>11.82042541192002</v>
      </c>
      <c r="D89" s="112">
        <f>B89*$B$21*$B$35</f>
        <v>591021.27059600106</v>
      </c>
      <c r="E89" s="112">
        <f>D89/1000</f>
        <v>591.02127059600105</v>
      </c>
    </row>
    <row r="90" spans="1:29" x14ac:dyDescent="0.3">
      <c r="A90" s="101" t="s">
        <v>192</v>
      </c>
      <c r="B90" s="128">
        <f>IF(C6="LZ",B92+B93,0)</f>
        <v>11.016994578586687</v>
      </c>
      <c r="D90" s="112">
        <f>B90*$B$21*$B$35</f>
        <v>550849.72892933432</v>
      </c>
      <c r="E90" s="112">
        <f>D90/1000</f>
        <v>550.84972892933433</v>
      </c>
    </row>
    <row r="91" spans="1:29" x14ac:dyDescent="0.3">
      <c r="A91" s="101" t="s">
        <v>180</v>
      </c>
      <c r="B91" s="128">
        <f>IF(C6="K",0,D47)</f>
        <v>5.1487030000000003</v>
      </c>
      <c r="D91" s="112">
        <f t="shared" ref="D91:D111" si="3">B91*$B$21*$B$35</f>
        <v>257435.15000000002</v>
      </c>
      <c r="E91" s="112">
        <f t="shared" ref="E91:E111" si="4">D91/1000</f>
        <v>257.43515000000002</v>
      </c>
    </row>
    <row r="92" spans="1:29" x14ac:dyDescent="0.3">
      <c r="A92" s="101" t="s">
        <v>181</v>
      </c>
      <c r="B92" s="128">
        <f>IF(C6="K",0,D53)</f>
        <v>4.3452721666666667</v>
      </c>
      <c r="D92" s="112">
        <f t="shared" si="3"/>
        <v>217263.60833333334</v>
      </c>
      <c r="E92" s="112">
        <f t="shared" si="4"/>
        <v>217.26360833333334</v>
      </c>
    </row>
    <row r="93" spans="1:29" x14ac:dyDescent="0.3">
      <c r="A93" s="101" t="s">
        <v>73</v>
      </c>
      <c r="B93" s="128">
        <f>IF(C6="B",0,VLOOKUP(Datenbasis!$A$3,Datenbasis!$B$3:$T$27,5,FALSE)+VLOOKUP(Datenbasis!$A$21,Datenbasis!$B$3:$T$27,5,FALSE)+C115+C122+C129)</f>
        <v>6.6717224119200189</v>
      </c>
      <c r="D93" s="112">
        <f t="shared" si="3"/>
        <v>333586.12059600098</v>
      </c>
      <c r="E93" s="112">
        <f t="shared" si="4"/>
        <v>333.58612059600097</v>
      </c>
      <c r="F93" s="102"/>
    </row>
    <row r="94" spans="1:29" x14ac:dyDescent="0.3">
      <c r="A94" s="101" t="s">
        <v>82</v>
      </c>
      <c r="B94" s="128">
        <f>IF(C6="B",0,VLOOKUP(Datenbasis!$A$3,Datenbasis!$B$3:$T$27,6,FALSE)+VLOOKUP(Datenbasis!$A$21,Datenbasis!$B$3:$T$27,6,FALSE)+C116+C123+C130)</f>
        <v>5.1168110974237146</v>
      </c>
      <c r="D94" s="112">
        <f t="shared" si="3"/>
        <v>255840.55487118574</v>
      </c>
      <c r="E94" s="112">
        <f t="shared" si="4"/>
        <v>255.84055487118573</v>
      </c>
      <c r="F94" s="102"/>
    </row>
    <row r="95" spans="1:29" x14ac:dyDescent="0.3">
      <c r="A95" s="101" t="s">
        <v>83</v>
      </c>
      <c r="B95" s="128">
        <f>IF(C6="B",0,VLOOKUP(Datenbasis!$A$3,Datenbasis!$B$3:$T$27,7,FALSE)+VLOOKUP(Datenbasis!$A$21,Datenbasis!$B$3:$T$27,7,FALSE)+C117+C124+C131)</f>
        <v>1.2173243250652255</v>
      </c>
      <c r="D95" s="112">
        <f t="shared" si="3"/>
        <v>60866.216253261271</v>
      </c>
      <c r="E95" s="112">
        <f t="shared" si="4"/>
        <v>60.866216253261271</v>
      </c>
      <c r="F95" s="102"/>
    </row>
    <row r="96" spans="1:29" x14ac:dyDescent="0.3">
      <c r="A96" s="101" t="s">
        <v>85</v>
      </c>
      <c r="B96" s="128">
        <f>IF(C6="B",0,VLOOKUP(Datenbasis!$A$3,Datenbasis!$B$3:$T$27,8,FALSE)+VLOOKUP(Datenbasis!$A$21,Datenbasis!$B$3:$T$27,8,FALSE)+C118+C125+C132)</f>
        <v>1.7769123244286196</v>
      </c>
      <c r="D96" s="112">
        <f t="shared" si="3"/>
        <v>88845.616221430973</v>
      </c>
      <c r="E96" s="112">
        <f t="shared" si="4"/>
        <v>88.845616221430973</v>
      </c>
      <c r="F96" s="102"/>
    </row>
    <row r="97" spans="1:6" x14ac:dyDescent="0.3">
      <c r="A97" s="101" t="s">
        <v>182</v>
      </c>
      <c r="B97" s="128">
        <f>IF(C6="B",0,VLOOKUP(Datenbasis!$A$3,Datenbasis!$B$3:$T$27,9,FALSE)+VLOOKUP(Datenbasis!$A$21,Datenbasis!$B$3:$T$27,9,FALSE)+C119+C126+C133)</f>
        <v>-1.4393253349975408</v>
      </c>
      <c r="D97" s="112">
        <f t="shared" si="3"/>
        <v>-71966.266749877032</v>
      </c>
      <c r="E97" s="112">
        <f t="shared" si="4"/>
        <v>-71.966266749877036</v>
      </c>
      <c r="F97" s="102"/>
    </row>
    <row r="98" spans="1:6" x14ac:dyDescent="0.3">
      <c r="A98" s="101" t="s">
        <v>183</v>
      </c>
      <c r="B98" s="128">
        <f>IF(C6="K",0,VLOOKUP(Datenbasis!$A$3,Datenbasis!$B$3:$T$27,9,FALSE)+VLOOKUP(Datenbasis!$A$21,Datenbasis!$B$3:$T$27,9,FALSE)+C119+C126+C133+B101)</f>
        <v>-2.2427561683308741</v>
      </c>
      <c r="D98" s="112">
        <f t="shared" si="3"/>
        <v>-112137.8084165437</v>
      </c>
      <c r="E98" s="112">
        <f t="shared" si="4"/>
        <v>-112.13780841654371</v>
      </c>
      <c r="F98" s="102"/>
    </row>
    <row r="99" spans="1:6" x14ac:dyDescent="0.3">
      <c r="A99" s="101" t="s">
        <v>0</v>
      </c>
      <c r="B99" s="128">
        <f>IF(C6="K",0,D41)</f>
        <v>1.158703</v>
      </c>
      <c r="D99" s="112">
        <f t="shared" si="3"/>
        <v>57935.15</v>
      </c>
      <c r="E99" s="112">
        <f t="shared" si="4"/>
        <v>57.93515</v>
      </c>
    </row>
    <row r="100" spans="1:6" x14ac:dyDescent="0.3">
      <c r="A100" s="101" t="s">
        <v>1</v>
      </c>
      <c r="B100" s="128">
        <f>IF(C6="K",0,D44)</f>
        <v>3.99</v>
      </c>
      <c r="D100" s="112">
        <f t="shared" si="3"/>
        <v>199500</v>
      </c>
      <c r="E100" s="112">
        <f t="shared" si="4"/>
        <v>199.5</v>
      </c>
    </row>
    <row r="101" spans="1:6" x14ac:dyDescent="0.3">
      <c r="A101" s="101" t="s">
        <v>178</v>
      </c>
      <c r="B101" s="128">
        <f>IF(C6="K",0,D50)</f>
        <v>-0.80343083333333321</v>
      </c>
      <c r="D101" s="112">
        <f t="shared" si="3"/>
        <v>-40171.541666666664</v>
      </c>
      <c r="E101" s="112">
        <f t="shared" si="4"/>
        <v>-40.171541666666663</v>
      </c>
    </row>
    <row r="102" spans="1:6" x14ac:dyDescent="0.3">
      <c r="A102" s="101" t="s">
        <v>175</v>
      </c>
      <c r="B102" s="128">
        <f>IF(C6="B",0,VLOOKUP(Datenbasis!$A$3,Datenbasis!$B$3:$T$27,10,FALSE)+VLOOKUP(Datenbasis!$A$21,Datenbasis!$B$3:$T$27,10,FALSE))</f>
        <v>5.9361088697992104</v>
      </c>
      <c r="D102" s="112">
        <f t="shared" si="3"/>
        <v>296805.44348996051</v>
      </c>
      <c r="E102" s="112">
        <f t="shared" si="4"/>
        <v>296.80544348996051</v>
      </c>
    </row>
    <row r="103" spans="1:6" x14ac:dyDescent="0.3">
      <c r="A103" s="101" t="s">
        <v>79</v>
      </c>
      <c r="B103" s="128">
        <f>IF(C6="B",0,VLOOKUP(Datenbasis!$A$3,Datenbasis!$B$3:$T$27,11,FALSE)+VLOOKUP(Datenbasis!$A$21,Datenbasis!$B$3:$T$27,11,FALSE)+C115+C122+C129)</f>
        <v>0.73561354212080843</v>
      </c>
      <c r="D103" s="112">
        <f t="shared" si="3"/>
        <v>36780.677106040421</v>
      </c>
      <c r="E103" s="112">
        <f t="shared" si="4"/>
        <v>36.780677106040422</v>
      </c>
      <c r="F103" s="102"/>
    </row>
    <row r="104" spans="1:6" x14ac:dyDescent="0.3">
      <c r="A104" s="101" t="s">
        <v>74</v>
      </c>
      <c r="B104" s="128">
        <f>IF(C6="B",0,VLOOKUP(Datenbasis!$A$3,Datenbasis!$B$3:$T$27,12,FALSE)+VLOOKUP(Datenbasis!$A$21,Datenbasis!$B$3:$T$27,12,FALSE))</f>
        <v>0.82467057631484353</v>
      </c>
      <c r="D104" s="112">
        <f t="shared" si="3"/>
        <v>41233.528815742175</v>
      </c>
      <c r="E104" s="112">
        <f t="shared" si="4"/>
        <v>41.233528815742176</v>
      </c>
    </row>
    <row r="105" spans="1:6" x14ac:dyDescent="0.3">
      <c r="A105" s="101" t="s">
        <v>75</v>
      </c>
      <c r="B105" s="128">
        <f>IF(C6="B",0,VLOOKUP(Datenbasis!$A$3,Datenbasis!$B$3:$T$27,13,FALSE)+VLOOKUP(Datenbasis!$A$21,Datenbasis!$B$3:$T$27,13,FALSE))</f>
        <v>1.7456213184532696</v>
      </c>
      <c r="D105" s="112">
        <f t="shared" si="3"/>
        <v>87281.065922663489</v>
      </c>
      <c r="E105" s="112">
        <f t="shared" si="4"/>
        <v>87.281065922663487</v>
      </c>
    </row>
    <row r="106" spans="1:6" x14ac:dyDescent="0.3">
      <c r="A106" s="101" t="s">
        <v>76</v>
      </c>
      <c r="B106" s="128">
        <f>IF(C6="B",0,VLOOKUP(Datenbasis!$A$3,Datenbasis!$B$3:$T$27,14,FALSE)+VLOOKUP(Datenbasis!$A$21,Datenbasis!$B$3:$T$27,14,FALSE))</f>
        <v>0.83893639676288345</v>
      </c>
      <c r="D106" s="112">
        <f t="shared" si="3"/>
        <v>41946.819838144169</v>
      </c>
      <c r="E106" s="112">
        <f t="shared" si="4"/>
        <v>41.946819838144172</v>
      </c>
    </row>
    <row r="107" spans="1:6" x14ac:dyDescent="0.3">
      <c r="A107" s="101" t="s">
        <v>77</v>
      </c>
      <c r="B107" s="128">
        <f>IF(C6="B",0,VLOOKUP(Datenbasis!$A$3,Datenbasis!$B$3:$T$27,15,FALSE)+VLOOKUP(Datenbasis!$A$21,Datenbasis!$B$3:$T$27,15,FALSE))</f>
        <v>2.091549678181456</v>
      </c>
      <c r="D107" s="112">
        <f t="shared" si="3"/>
        <v>104577.48390907279</v>
      </c>
      <c r="E107" s="112">
        <f t="shared" si="4"/>
        <v>104.5774839090728</v>
      </c>
    </row>
    <row r="108" spans="1:6" x14ac:dyDescent="0.3">
      <c r="A108" s="101" t="s">
        <v>78</v>
      </c>
      <c r="B108" s="128">
        <f>IF(C6="B",0,VLOOKUP(Datenbasis!$A$3,Datenbasis!$B$3:$T$27,16,FALSE)+VLOOKUP(Datenbasis!$A$21,Datenbasis!$B$3:$T$27,16,FALSE))</f>
        <v>0.43533090008675812</v>
      </c>
      <c r="D108" s="112">
        <f t="shared" si="3"/>
        <v>21766.545004337906</v>
      </c>
      <c r="E108" s="112">
        <f t="shared" si="4"/>
        <v>21.766545004337907</v>
      </c>
    </row>
    <row r="109" spans="1:6" x14ac:dyDescent="0.3">
      <c r="A109" s="101" t="s">
        <v>176</v>
      </c>
      <c r="B109" s="128">
        <f>IF(C6="B",0,VLOOKUP(Datenbasis!$A$3,Datenbasis!$B$3:$T$27,17,FALSE)+VLOOKUP(Datenbasis!$A$21,Datenbasis!$B$3:$T$27,17,FALSE)+C122)</f>
        <v>0.42407293812080848</v>
      </c>
      <c r="D109" s="112">
        <f t="shared" si="3"/>
        <v>21203.646906040427</v>
      </c>
      <c r="E109" s="112">
        <f t="shared" si="4"/>
        <v>21.203646906040426</v>
      </c>
      <c r="F109" s="102"/>
    </row>
    <row r="110" spans="1:6" x14ac:dyDescent="0.3">
      <c r="A110" s="101" t="s">
        <v>80</v>
      </c>
      <c r="B110" s="128">
        <f>IF(C6="B",0,C129)</f>
        <v>6.6164603999999988E-2</v>
      </c>
      <c r="D110" s="112">
        <f t="shared" si="3"/>
        <v>3308.2301999999991</v>
      </c>
      <c r="E110" s="112">
        <f t="shared" si="4"/>
        <v>3.3082301999999992</v>
      </c>
    </row>
    <row r="111" spans="1:6" x14ac:dyDescent="0.3">
      <c r="A111" s="101" t="s">
        <v>81</v>
      </c>
      <c r="B111" s="128">
        <f>IF(C6="B",0,C115)</f>
        <v>0.24537599999999996</v>
      </c>
      <c r="C111" s="102"/>
      <c r="D111" s="112">
        <f t="shared" si="3"/>
        <v>12268.799999999997</v>
      </c>
      <c r="E111" s="112">
        <f t="shared" si="4"/>
        <v>12.268799999999997</v>
      </c>
      <c r="F111" s="102"/>
    </row>
    <row r="112" spans="1:6" x14ac:dyDescent="0.3">
      <c r="B112" s="128"/>
      <c r="C112" s="102"/>
      <c r="E112" s="102"/>
      <c r="F112" s="102"/>
    </row>
    <row r="114" spans="1:7" ht="18" x14ac:dyDescent="0.35">
      <c r="A114" s="102" t="s">
        <v>173</v>
      </c>
      <c r="C114" s="105" t="s">
        <v>161</v>
      </c>
      <c r="D114" s="150" t="s">
        <v>162</v>
      </c>
      <c r="E114" s="150" t="s">
        <v>294</v>
      </c>
      <c r="G114" s="102"/>
    </row>
    <row r="115" spans="1:7" x14ac:dyDescent="0.3">
      <c r="A115" s="101" t="s">
        <v>73</v>
      </c>
      <c r="B115" s="128">
        <f>SUM(B116:B119)</f>
        <v>817.92</v>
      </c>
      <c r="C115" s="128">
        <f>SUM(C116:C119)</f>
        <v>0.24537599999999996</v>
      </c>
      <c r="D115" s="122">
        <f t="shared" ref="D115:E115" si="5">SUM(D116:D119)</f>
        <v>12268.800000000001</v>
      </c>
      <c r="E115" s="131">
        <f t="shared" si="5"/>
        <v>12.268800000000001</v>
      </c>
      <c r="G115" s="122"/>
    </row>
    <row r="116" spans="1:7" x14ac:dyDescent="0.3">
      <c r="A116" s="101" t="s">
        <v>82</v>
      </c>
      <c r="B116" s="128">
        <v>296.7</v>
      </c>
      <c r="C116" s="116">
        <f>B116*$B$27/$B$21/$B$35</f>
        <v>8.9010000000000006E-2</v>
      </c>
      <c r="D116" s="122">
        <f>C116*$B$35*$B$21</f>
        <v>4450.5</v>
      </c>
      <c r="E116" s="131">
        <f t="shared" ref="E116:E119" si="6">D116/1000</f>
        <v>4.4504999999999999</v>
      </c>
    </row>
    <row r="117" spans="1:7" x14ac:dyDescent="0.3">
      <c r="A117" s="101" t="s">
        <v>83</v>
      </c>
      <c r="B117" s="128">
        <f>ROUND(50/20-1,0)*(B116+B118+B119)</f>
        <v>545.28</v>
      </c>
      <c r="C117" s="116">
        <f>B117*$B$27/$B$21/$B$35</f>
        <v>0.16358400000000001</v>
      </c>
      <c r="D117" s="122">
        <f>C117*$B$35*$B$21</f>
        <v>8179.2</v>
      </c>
      <c r="E117" s="131">
        <f t="shared" si="6"/>
        <v>8.1791999999999998</v>
      </c>
      <c r="F117" s="101" t="s">
        <v>172</v>
      </c>
    </row>
    <row r="118" spans="1:7" x14ac:dyDescent="0.3">
      <c r="A118" s="101" t="s">
        <v>85</v>
      </c>
      <c r="B118" s="128">
        <v>12.14</v>
      </c>
      <c r="C118" s="116">
        <f>B118*$B$27/$B$21/$B$35</f>
        <v>3.6420000000000003E-3</v>
      </c>
      <c r="D118" s="122">
        <f>C118*$B$35*$B$21</f>
        <v>182.10000000000002</v>
      </c>
      <c r="E118" s="131">
        <f t="shared" si="6"/>
        <v>0.18210000000000001</v>
      </c>
    </row>
    <row r="119" spans="1:7" x14ac:dyDescent="0.3">
      <c r="A119" s="101" t="s">
        <v>84</v>
      </c>
      <c r="B119" s="128">
        <v>-36.200000000000003</v>
      </c>
      <c r="C119" s="116">
        <f>B119*$B$27/$B$21/$B$35</f>
        <v>-1.086E-2</v>
      </c>
      <c r="D119" s="122">
        <f>C119*$B$35*$B$21</f>
        <v>-543</v>
      </c>
      <c r="E119" s="131">
        <f t="shared" si="6"/>
        <v>-0.54300000000000004</v>
      </c>
    </row>
    <row r="121" spans="1:7" ht="18" x14ac:dyDescent="0.35">
      <c r="A121" s="102" t="s">
        <v>174</v>
      </c>
      <c r="C121" s="105" t="s">
        <v>161</v>
      </c>
      <c r="D121" s="150" t="s">
        <v>162</v>
      </c>
      <c r="E121" s="150" t="s">
        <v>294</v>
      </c>
    </row>
    <row r="122" spans="1:7" x14ac:dyDescent="0.3">
      <c r="A122" s="101" t="s">
        <v>73</v>
      </c>
      <c r="B122" s="128">
        <f>SUM(B123:B126)</f>
        <v>143.80799999999999</v>
      </c>
      <c r="C122" s="128">
        <f>SUM(C123:C126)</f>
        <v>4.3142400000000004E-2</v>
      </c>
      <c r="D122" s="122">
        <f>C122*$B$35*$B$21</f>
        <v>2157.12</v>
      </c>
      <c r="E122" s="131">
        <f t="shared" ref="E122:E126" si="7">D122/1000</f>
        <v>2.1571199999999999</v>
      </c>
    </row>
    <row r="123" spans="1:7" x14ac:dyDescent="0.3">
      <c r="A123" s="101" t="s">
        <v>82</v>
      </c>
      <c r="B123" s="128">
        <v>104</v>
      </c>
      <c r="C123" s="116">
        <f>B123*$B$29/$B$35/$B$21</f>
        <v>3.1200000000000002E-2</v>
      </c>
      <c r="D123" s="122">
        <f>C123*$B$35*$B$21</f>
        <v>1560.0000000000002</v>
      </c>
      <c r="E123" s="131">
        <f t="shared" si="7"/>
        <v>1.5600000000000003</v>
      </c>
    </row>
    <row r="124" spans="1:7" x14ac:dyDescent="0.3">
      <c r="A124" s="101" t="s">
        <v>83</v>
      </c>
      <c r="B124" s="128">
        <f>ROUND(50/20-1,0)*(B123+B125+B126)</f>
        <v>95.872</v>
      </c>
      <c r="C124" s="116">
        <f>B124*$B$29/$B$35/$B$21</f>
        <v>2.8761600000000002E-2</v>
      </c>
      <c r="D124" s="122">
        <f>C124*$B$35*$B$21</f>
        <v>1438.0800000000002</v>
      </c>
      <c r="E124" s="131">
        <f t="shared" si="7"/>
        <v>1.4380800000000002</v>
      </c>
      <c r="F124" s="101" t="s">
        <v>172</v>
      </c>
    </row>
    <row r="125" spans="1:7" x14ac:dyDescent="0.3">
      <c r="A125" s="101" t="s">
        <v>85</v>
      </c>
      <c r="B125" s="128">
        <v>1.1759999999999999</v>
      </c>
      <c r="C125" s="132">
        <f>B125*$B$29/$B$35/$B$21</f>
        <v>3.5280000000000001E-4</v>
      </c>
      <c r="D125" s="122">
        <f>C125*$B$35*$B$21</f>
        <v>17.64</v>
      </c>
      <c r="E125" s="131">
        <f t="shared" si="7"/>
        <v>1.7639999999999999E-2</v>
      </c>
    </row>
    <row r="126" spans="1:7" x14ac:dyDescent="0.3">
      <c r="A126" s="101" t="s">
        <v>84</v>
      </c>
      <c r="B126" s="128">
        <v>-57.24</v>
      </c>
      <c r="C126" s="116">
        <f>B126*$B$29/$B$35/$B$21</f>
        <v>-1.7172E-2</v>
      </c>
      <c r="D126" s="122">
        <f>C126*$B$35*$B$21</f>
        <v>-858.6</v>
      </c>
      <c r="E126" s="131">
        <f t="shared" si="7"/>
        <v>-0.85860000000000003</v>
      </c>
    </row>
    <row r="128" spans="1:7" ht="18" x14ac:dyDescent="0.35">
      <c r="A128" s="102" t="s">
        <v>177</v>
      </c>
      <c r="C128" s="105" t="s">
        <v>161</v>
      </c>
      <c r="D128" s="150" t="s">
        <v>162</v>
      </c>
      <c r="E128" s="150" t="s">
        <v>294</v>
      </c>
    </row>
    <row r="129" spans="1:6" x14ac:dyDescent="0.3">
      <c r="A129" s="101" t="s">
        <v>73</v>
      </c>
      <c r="B129" s="128">
        <f>SUM(B130:B133)</f>
        <v>3308.2302</v>
      </c>
      <c r="C129" s="128">
        <f>SUM(C130:C133)</f>
        <v>6.6164603999999988E-2</v>
      </c>
      <c r="D129" s="122">
        <f>C129*$B$35*$B$21</f>
        <v>3308.2301999999991</v>
      </c>
      <c r="E129" s="131">
        <f t="shared" ref="E129:E133" si="8">D129/1000</f>
        <v>3.3082301999999992</v>
      </c>
    </row>
    <row r="130" spans="1:6" x14ac:dyDescent="0.3">
      <c r="A130" s="101" t="s">
        <v>82</v>
      </c>
      <c r="B130" s="128">
        <v>2816</v>
      </c>
      <c r="C130" s="116">
        <f>B130/$B$35/$B$21</f>
        <v>5.6319999999999995E-2</v>
      </c>
      <c r="D130" s="122">
        <f>C130*$B$35*$B$21</f>
        <v>2815.9999999999995</v>
      </c>
      <c r="E130" s="131">
        <f t="shared" si="8"/>
        <v>2.8159999999999994</v>
      </c>
    </row>
    <row r="131" spans="1:6" x14ac:dyDescent="0.3">
      <c r="A131" s="101" t="s">
        <v>83</v>
      </c>
      <c r="B131" s="128">
        <f>ROUND(50/20-1,0)*(B130+B132+B133)</f>
        <v>2205.4867999999997</v>
      </c>
      <c r="C131" s="116">
        <f>B131/$B$35/$B$21</f>
        <v>4.410973599999999E-2</v>
      </c>
      <c r="D131" s="122">
        <f>C131*$B$35*$B$21</f>
        <v>2205.4867999999997</v>
      </c>
      <c r="E131" s="131">
        <f t="shared" si="8"/>
        <v>2.2054867999999996</v>
      </c>
      <c r="F131" s="101" t="s">
        <v>172</v>
      </c>
    </row>
    <row r="132" spans="1:6" x14ac:dyDescent="0.3">
      <c r="A132" s="101" t="s">
        <v>85</v>
      </c>
      <c r="B132" s="133">
        <f>3.473+0.2704</f>
        <v>3.7433999999999998</v>
      </c>
      <c r="C132" s="132">
        <f>B132/$B$35/$B$21</f>
        <v>7.4868000000000002E-5</v>
      </c>
      <c r="D132" s="122">
        <f>C132*$B$35*$B$21</f>
        <v>3.7434000000000003</v>
      </c>
      <c r="E132" s="131">
        <f t="shared" si="8"/>
        <v>3.7434000000000005E-3</v>
      </c>
    </row>
    <row r="133" spans="1:6" x14ac:dyDescent="0.3">
      <c r="A133" s="101" t="s">
        <v>84</v>
      </c>
      <c r="B133" s="128">
        <v>-1717</v>
      </c>
      <c r="C133" s="116">
        <f>B133/$B$35/$B$21</f>
        <v>-3.4340000000000002E-2</v>
      </c>
      <c r="D133" s="122">
        <f>C133*$B$35*$B$21</f>
        <v>-1717.0000000000002</v>
      </c>
      <c r="E133" s="131">
        <f t="shared" si="8"/>
        <v>-1.7170000000000003</v>
      </c>
    </row>
    <row r="136" spans="1:6" x14ac:dyDescent="0.3">
      <c r="A136" s="102" t="s">
        <v>185</v>
      </c>
    </row>
    <row r="137" spans="1:6" ht="18" x14ac:dyDescent="0.35">
      <c r="A137" s="105" t="s">
        <v>147</v>
      </c>
      <c r="B137" s="134">
        <v>5.0806670104801421</v>
      </c>
      <c r="C137" s="101" t="s">
        <v>295</v>
      </c>
    </row>
    <row r="138" spans="1:6" ht="18" x14ac:dyDescent="0.35">
      <c r="A138" s="105" t="s">
        <v>147</v>
      </c>
      <c r="B138" s="112">
        <v>200178.2802129176</v>
      </c>
      <c r="C138" s="101" t="s">
        <v>296</v>
      </c>
    </row>
    <row r="139" spans="1:6" x14ac:dyDescent="0.3">
      <c r="A139" s="105" t="s">
        <v>147</v>
      </c>
      <c r="B139" s="135">
        <v>200.1782802129176</v>
      </c>
      <c r="C139" s="101" t="s">
        <v>148</v>
      </c>
    </row>
  </sheetData>
  <sheetProtection algorithmName="SHA-512" hashValue="2XX8bVwl74BetlaqTIpHyw55k03oLquUI5BW9T5DqiprOE9mFZTABMMX7MypUXUbEkNG6P2MDOxunpQaUE6oDg==" saltValue="McsB+d67U5bdqXyXO2JKGg==" spinCount="100000" sheet="1" objects="1" scenarios="1" selectLockedCells="1" selectUnlockedCells="1"/>
  <mergeCells count="20">
    <mergeCell ref="F21:H21"/>
    <mergeCell ref="A43:B43"/>
    <mergeCell ref="A40:B40"/>
    <mergeCell ref="D40:E40"/>
    <mergeCell ref="D43:E43"/>
    <mergeCell ref="F29:H29"/>
    <mergeCell ref="D49:E49"/>
    <mergeCell ref="D52:E52"/>
    <mergeCell ref="A57:B57"/>
    <mergeCell ref="A1:B1"/>
    <mergeCell ref="A49:B49"/>
    <mergeCell ref="A46:B46"/>
    <mergeCell ref="D46:E46"/>
    <mergeCell ref="A2:B2"/>
    <mergeCell ref="BS1:BU1"/>
    <mergeCell ref="F3:H3"/>
    <mergeCell ref="F12:H12"/>
    <mergeCell ref="F18:H18"/>
    <mergeCell ref="J12:M12"/>
    <mergeCell ref="J3:M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w D A A B Q S w M E F A A C A A g A E r L k V j M O 8 y W l A A A A 9 w A A A B I A H A B D b 2 5 m a W c v U G F j a 2 F n Z S 5 4 b W w g o h g A K K A U A A A A A A A A A A A A A A A A A A A A A A A A A A A A h Y + x C s I w G I R 3 w X c o 2 Z u k c S t / 0 0 H d L A i C u I Y 2 t M E 0 k S Y 1 f T c H H 8 l X s E W r b o 5 3 9 8 H d P W 5 3 y I d W R 1 f Z O W V N h h J M U e S 8 M J X Q 1 s g M G Y t y v l z A X p R n U c t o p I 1 L B 1 d l q P H + k h I S Q s B h h W 1 X E 0 Z p Q k 7 F 7 l A 2 s h X o A 6 v / c K z M V F t K x O H 4 W s M Z T i j D j I 6 j g M w m F M p 8 A T Z m U / p j w r r X v u 8 k r 2 S 8 2 Q K Z J Z D 3 B / 4 E U E s D B B Q A A g A I A B K y 5 F Z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A S s u R W K I p H u A 4 A A A A R A A A A E w A c A E Z v c m 1 1 b G F z L 1 N l Y 3 R p b 2 4 x L m 0 g o h g A K K A U A A A A A A A A A A A A A A A A A A A A A A A A A A A A K 0 5 N L s n M z 1 M I h t C G 1 g B Q S w E C L Q A U A A I A C A A S s u R W M w 7 z J a U A A A D 3 A A A A E g A A A A A A A A A A A A A A A A A A A A A A Q 2 9 u Z m l n L 1 B h Y 2 t h Z 2 U u e G 1 s U E s B A i 0 A F A A C A A g A E r L k V l N y O C y b A A A A 4 Q A A A B M A A A A A A A A A A A A A A A A A 8 Q A A A F t D b 2 5 0 Z W 5 0 X 1 R 5 c G V z X S 5 4 b W x Q S w E C L Q A U A A I A C A A S s u R W K I p H u A 4 A A A A R A A A A E w A A A A A A A A A A A A A A A A D Z A Q A A R m 9 y b X V s Y X M v U 2 V j d G l v b j E u b V B L B Q Y A A A A A A w A D A M I A A A A 0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8 3 j O 7 Z W 9 N K u l 3 H 8 X 3 R X / Y A A A A A A g A A A A A A A 2 Y A A M A A A A A Q A A A A e l e I b / 8 E i 1 B + D c m t B B v 3 S A A A A A A E g A A A o A A A A B A A A A D Q 5 F U f o z N e A + p N N O l S B 8 1 r U A A A A B 9 P d P C u T 0 h q w l T m t 3 C o / 5 X p Z 5 7 f t l U R 5 + T q A d 8 W u h 8 / j Q M b G C 4 E d D G k P y 9 k h / M N U J F w d s G X J N w t f j a F Z / 1 p D 6 l o 5 C K a S E J G a D U z 2 u L D 9 C / l F A A A A D H 3 c x m V i 5 k p s p M g r O 1 O J Q q B L O + j < / D a t a M a s h u p > 
</file>

<file path=customXml/itemProps1.xml><?xml version="1.0" encoding="utf-8"?>
<ds:datastoreItem xmlns:ds="http://schemas.openxmlformats.org/officeDocument/2006/customXml" ds:itemID="{6993D07E-27BE-40CE-82C8-8190CC1A9F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01_Disclaimer</vt:lpstr>
      <vt:lpstr>02_Hinweise</vt:lpstr>
      <vt:lpstr>Eingabe</vt:lpstr>
      <vt:lpstr>Ausgabe</vt:lpstr>
      <vt:lpstr>Datenbasis</vt:lpstr>
      <vt:lpstr>Hintergrund</vt:lpstr>
      <vt:lpstr>Ausgabe01</vt:lpstr>
      <vt:lpstr>Ausgabe02</vt:lpstr>
      <vt:lpstr>Ausgabe03</vt:lpstr>
      <vt:lpstr>Ausgabe04</vt:lpstr>
      <vt:lpstr>'01_Disclaimer'!Druckbereich</vt:lpstr>
      <vt:lpstr>'02_Hinweise'!Druckbereich</vt:lpstr>
      <vt:lpstr>Ausgabe!Druckbereich</vt:lpstr>
      <vt:lpstr>Eingabe!Druckbereich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Lenz, Katrin</cp:lastModifiedBy>
  <cp:lastPrinted>2023-07-04T17:04:01Z</cp:lastPrinted>
  <dcterms:created xsi:type="dcterms:W3CDTF">2011-07-14T09:33:27Z</dcterms:created>
  <dcterms:modified xsi:type="dcterms:W3CDTF">2023-08-08T15:13:00Z</dcterms:modified>
</cp:coreProperties>
</file>